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9135" windowHeight="4965" tabRatio="765" activeTab="0"/>
  </bookViews>
  <sheets>
    <sheet name="Enter Dim." sheetId="1" r:id="rId1"/>
    <sheet name="Original Link-Seal calculation" sheetId="2" r:id="rId2"/>
    <sheet name="Link-Seal calculation S-LS" sheetId="3" r:id="rId3"/>
  </sheets>
  <definedNames>
    <definedName name="_xlnm.Print_Area" localSheetId="0">'Enter Dim.'!$A$1:$J$16</definedName>
    <definedName name="_xlnm.Print_Area" localSheetId="2">'Link-Seal calculation S-LS'!$A$1:$M$40</definedName>
    <definedName name="_xlnm.Print_Area" localSheetId="1">'Original Link-Seal calculation'!$A$1:$M$55</definedName>
    <definedName name="Z_8A607DE0_F35D_11CD_95AE_9E132FB45A25_.wvu.PrintArea" localSheetId="2" hidden="1">'Link-Seal calculation S-LS'!$C$2:$M$29</definedName>
    <definedName name="Z_8A607DE0_F35D_11CD_95AE_9E132FB45A25_.wvu.PrintArea" localSheetId="1" hidden="1">'Original Link-Seal calculation'!$C$2:$M$43</definedName>
  </definedNames>
  <calcPr fullCalcOnLoad="1" fullPrecision="0"/>
</workbook>
</file>

<file path=xl/sharedStrings.xml><?xml version="1.0" encoding="utf-8"?>
<sst xmlns="http://schemas.openxmlformats.org/spreadsheetml/2006/main" count="194" uniqueCount="105">
  <si>
    <t>mm</t>
  </si>
  <si>
    <t>C</t>
  </si>
  <si>
    <t>S316</t>
  </si>
  <si>
    <t>O</t>
  </si>
  <si>
    <t>BC</t>
  </si>
  <si>
    <t>OS316</t>
  </si>
  <si>
    <t>RRMin</t>
  </si>
  <si>
    <t>RRMax</t>
  </si>
  <si>
    <t>Bogenl</t>
  </si>
  <si>
    <t>dmin</t>
  </si>
  <si>
    <t>elem.min</t>
  </si>
  <si>
    <t>BS316</t>
  </si>
  <si>
    <t>kein Produkt</t>
  </si>
  <si>
    <t>Typ BC:</t>
  </si>
  <si>
    <t xml:space="preserve">Gummi EPDM (blau, extra weich für Kunststoffrohr), Schrauben verzinkt, </t>
  </si>
  <si>
    <r>
      <t xml:space="preserve">Wählen Sie nun Ihre Type mit " </t>
    </r>
    <r>
      <rPr>
        <b/>
        <sz val="12"/>
        <color indexed="10"/>
        <rFont val="Arial MT"/>
        <family val="0"/>
      </rPr>
      <t>1</t>
    </r>
    <r>
      <rPr>
        <b/>
        <sz val="12"/>
        <color indexed="12"/>
        <rFont val="Arial MT"/>
        <family val="0"/>
      </rPr>
      <t xml:space="preserve"> " -------&gt;</t>
    </r>
  </si>
  <si>
    <t>S-LS 300</t>
  </si>
  <si>
    <t>S-LS 315</t>
  </si>
  <si>
    <t>S-LS 325</t>
  </si>
  <si>
    <t>S-LS 340</t>
  </si>
  <si>
    <t>S-LS 360</t>
  </si>
  <si>
    <t>S-LS 400</t>
  </si>
  <si>
    <t>S-LS 410</t>
  </si>
  <si>
    <t>S-LS 425</t>
  </si>
  <si>
    <t>S-LS 440</t>
  </si>
  <si>
    <t>S-LS 475</t>
  </si>
  <si>
    <t>S-LS 500</t>
  </si>
  <si>
    <t>S-LS 525</t>
  </si>
  <si>
    <t>S-LS 575</t>
  </si>
  <si>
    <t>S-LS 625</t>
  </si>
  <si>
    <t>S-LS 650</t>
  </si>
  <si>
    <t>Bogenlänge LS</t>
  </si>
  <si>
    <t>Dicke LS</t>
  </si>
  <si>
    <t>Bogenlänge S-LS</t>
  </si>
  <si>
    <t>Dicke S-LS</t>
  </si>
  <si>
    <t>+ "ENTER"</t>
  </si>
  <si>
    <t>←</t>
  </si>
  <si>
    <t>[mm]</t>
  </si>
  <si>
    <t>Modular Wall Sealing</t>
  </si>
  <si>
    <r>
      <t>Original Link-Seal</t>
    </r>
    <r>
      <rPr>
        <b/>
        <sz val="36"/>
        <rFont val="Arial MT"/>
        <family val="0"/>
      </rPr>
      <t xml:space="preserve"> and </t>
    </r>
    <r>
      <rPr>
        <b/>
        <sz val="36"/>
        <color indexed="12"/>
        <rFont val="Arial MT"/>
        <family val="0"/>
      </rPr>
      <t>S-LS</t>
    </r>
  </si>
  <si>
    <t>Dimension</t>
  </si>
  <si>
    <t>ID Sleeve / ID core drilled hole</t>
  </si>
  <si>
    <t>OD Carrier pipe</t>
  </si>
  <si>
    <t>Original Link-Seal modular seals; High Quality</t>
  </si>
  <si>
    <t>Save = Strg+S</t>
  </si>
  <si>
    <t>Print = Strg+P</t>
  </si>
  <si>
    <t>Your dimensions:</t>
  </si>
  <si>
    <t>ID sleeve/core rilled hole:--------&gt;</t>
  </si>
  <si>
    <t>OD carrier pipe:-----&gt;</t>
  </si>
  <si>
    <t>Annular space</t>
  </si>
  <si>
    <t>OD LS - Ring
in  mm</t>
  </si>
  <si>
    <r>
      <t xml:space="preserve">Sealing range
min </t>
    </r>
    <r>
      <rPr>
        <b/>
        <sz val="12"/>
        <color indexed="10"/>
        <rFont val="Arial MT"/>
        <family val="0"/>
      </rPr>
      <t>mm</t>
    </r>
    <r>
      <rPr>
        <b/>
        <sz val="12"/>
        <rFont val="Arial MT"/>
        <family val="0"/>
      </rPr>
      <t xml:space="preserve">      max </t>
    </r>
    <r>
      <rPr>
        <b/>
        <sz val="12"/>
        <color indexed="10"/>
        <rFont val="Arial MT"/>
        <family val="0"/>
      </rPr>
      <t>mm</t>
    </r>
  </si>
  <si>
    <t>LS - Ring to be
pulled in %</t>
  </si>
  <si>
    <t>Type-Alternativ- Result:</t>
  </si>
  <si>
    <r>
      <t xml:space="preserve">If several "type-Alternativ" are shown the best technical solution is the one in which the ring has to be pulled at minimum
</t>
    </r>
    <r>
      <rPr>
        <b/>
        <sz val="12"/>
        <color indexed="10"/>
        <rFont val="Arial MT"/>
        <family val="0"/>
      </rPr>
      <t>(%)</t>
    </r>
    <r>
      <rPr>
        <b/>
        <sz val="12"/>
        <rFont val="Arial MT"/>
        <family val="0"/>
      </rPr>
      <t>.The OD of the LS-Ring shall be smaller as the ID of the sleeve/wall opening.</t>
    </r>
  </si>
  <si>
    <t>Technical data:</t>
  </si>
  <si>
    <t xml:space="preserve">Price = Euro/Ring </t>
  </si>
  <si>
    <t xml:space="preserve">Type C: </t>
  </si>
  <si>
    <t>Type BC:</t>
  </si>
  <si>
    <t>Type O:</t>
  </si>
  <si>
    <t xml:space="preserve">rubber EPDM black Standard), bolts galvanised, </t>
  </si>
  <si>
    <t xml:space="preserve">rubber EPDM (blue, soft for plastic pipes), bolts galvanised, </t>
  </si>
  <si>
    <t>rubber EPDM (noir), bolts V4A-inox</t>
  </si>
  <si>
    <t>rubber EPDM (blue, soft for plastic pipes), bolts V4A-stainless teel</t>
  </si>
  <si>
    <t xml:space="preserve">rubber Nitrile (green, oil resistant), bolts V4A-stainless steel, </t>
  </si>
  <si>
    <t xml:space="preserve">rubber Nitril (green, oil resistant), bolts galvanised, </t>
  </si>
  <si>
    <t>Back to new calculation</t>
  </si>
  <si>
    <t>For order form please click here:</t>
  </si>
  <si>
    <t>result without 
guarantee</t>
  </si>
  <si>
    <t>Close = Strg+W</t>
  </si>
  <si>
    <t>Save= Strg+S</t>
  </si>
  <si>
    <r>
      <t>Link-Seal Modular Sealing Type S-LS (small version);</t>
    </r>
    <r>
      <rPr>
        <sz val="16"/>
        <color indexed="10"/>
        <rFont val="Arial MT"/>
        <family val="0"/>
      </rPr>
      <t xml:space="preserve"> Attention: Limited sealing range</t>
    </r>
  </si>
  <si>
    <t>Type-Alternative Result:</t>
  </si>
  <si>
    <t>Annular sapce</t>
  </si>
  <si>
    <r>
      <t>If several "type-Alternativ" are shown the best technical solution is the one in which the ring has to be pulled at 
minimum</t>
    </r>
    <r>
      <rPr>
        <b/>
        <sz val="12"/>
        <color indexed="10"/>
        <rFont val="Arial MT"/>
        <family val="0"/>
      </rPr>
      <t>(%)</t>
    </r>
    <r>
      <rPr>
        <b/>
        <sz val="12"/>
        <rFont val="Arial MT"/>
        <family val="0"/>
      </rPr>
      <t>.The OD of the LS-Ring shall be smaller as the ID of the sleeve/wall opening.</t>
    </r>
  </si>
  <si>
    <t>Techniscal Data:</t>
  </si>
  <si>
    <t xml:space="preserve">Rubber EPDM (black Standard), bolts galvanised, </t>
  </si>
  <si>
    <t>Rubber EPDM (black), bolts V4A-stainless steel</t>
  </si>
  <si>
    <t xml:space="preserve">Price = Euro/Ring  </t>
  </si>
  <si>
    <t>Result without 
guarantee</t>
  </si>
  <si>
    <t>OD carrier pipe:------------&gt;</t>
  </si>
  <si>
    <t>ID wall opening:------------&gt;</t>
  </si>
  <si>
    <t>KTW</t>
  </si>
  <si>
    <t>Type KTW:</t>
  </si>
  <si>
    <t>Rubber EPDM (black), pressureplates blue, bolts V4A-stainless steel</t>
  </si>
  <si>
    <t>S 316</t>
  </si>
  <si>
    <t>BS 316</t>
  </si>
  <si>
    <t>OS 316</t>
  </si>
  <si>
    <t>Type S 316:</t>
  </si>
  <si>
    <t>Type BS 316:</t>
  </si>
  <si>
    <t>Type OS 316:</t>
  </si>
  <si>
    <t>Price valid from April 2006</t>
  </si>
  <si>
    <t>Vers. 6.1</t>
  </si>
  <si>
    <t>LS 200 KTW</t>
  </si>
  <si>
    <t>LS 275 KTW</t>
  </si>
  <si>
    <r>
      <t xml:space="preserve">Result for </t>
    </r>
    <r>
      <rPr>
        <b/>
        <u val="single"/>
        <sz val="16"/>
        <color indexed="10"/>
        <rFont val="Arial MT"/>
        <family val="0"/>
      </rPr>
      <t>Original Link-Seal (high quality)</t>
    </r>
    <r>
      <rPr>
        <b/>
        <u val="single"/>
        <sz val="16"/>
        <rFont val="Arial MT"/>
        <family val="0"/>
      </rPr>
      <t>, please click here</t>
    </r>
  </si>
  <si>
    <r>
      <t xml:space="preserve">Result for </t>
    </r>
    <r>
      <rPr>
        <b/>
        <u val="single"/>
        <sz val="16"/>
        <color indexed="10"/>
        <rFont val="Arial MT"/>
        <family val="0"/>
      </rPr>
      <t>S-LS Link-Seal and</t>
    </r>
    <r>
      <rPr>
        <b/>
        <u val="single"/>
        <sz val="16"/>
        <rFont val="Arial MT"/>
        <family val="0"/>
      </rPr>
      <t xml:space="preserve"> </t>
    </r>
    <r>
      <rPr>
        <b/>
        <u val="single"/>
        <sz val="16"/>
        <color indexed="12"/>
        <rFont val="Arial MT"/>
        <family val="0"/>
      </rPr>
      <t>S-LS KTW</t>
    </r>
    <r>
      <rPr>
        <b/>
        <u val="single"/>
        <sz val="16"/>
        <rFont val="Arial MT"/>
        <family val="0"/>
      </rPr>
      <t xml:space="preserve"> </t>
    </r>
    <r>
      <rPr>
        <b/>
        <u val="single"/>
        <sz val="16"/>
        <color indexed="10"/>
        <rFont val="Arial MT"/>
        <family val="0"/>
      </rPr>
      <t>(small version)</t>
    </r>
    <r>
      <rPr>
        <b/>
        <u val="single"/>
        <sz val="16"/>
        <rFont val="Arial MT"/>
        <family val="0"/>
      </rPr>
      <t>,
please click here</t>
    </r>
  </si>
  <si>
    <t>If possible please choose a bigger opening,</t>
  </si>
  <si>
    <t>to use type LS 310 or a larger segment!</t>
  </si>
  <si>
    <t>If possible please use type LS 310!</t>
  </si>
  <si>
    <t>Please use a COMPAKT sealing.</t>
  </si>
  <si>
    <t>Type LS 615 is not suitable for plastic pipes!</t>
  </si>
  <si>
    <t>to use type LS 325 or a larger segment!</t>
  </si>
  <si>
    <t>to use type S-LS 325 or a larger segment!</t>
  </si>
  <si>
    <t>to use type S-LS 300 or a larger segment!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</si>
</sst>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General_)"/>
    <numFmt numFmtId="181" formatCode="0.00_)"/>
    <numFmt numFmtId="182" formatCode="0_)"/>
    <numFmt numFmtId="183" formatCode="#,##0.00\ &quot;DM&quot;"/>
    <numFmt numFmtId="184" formatCode="0.0"/>
    <numFmt numFmtId="185" formatCode="0.0%"/>
    <numFmt numFmtId="186" formatCode="0.00_ ;[Red]\-0.00\ "/>
    <numFmt numFmtId="187" formatCode="0.000"/>
    <numFmt numFmtId="188" formatCode="#,##0.00\ _D_M"/>
    <numFmt numFmtId="189" formatCode="_-* #,##0.00\ [$€-1]_-;\-* #,##0.00\ [$€-1]_-;_-* &quot;-&quot;??\ [$€-1]_-;_-@_-"/>
    <numFmt numFmtId="190" formatCode="_-* #,##0.00\ [$€-1]_-;\-* #,##0.00\ [$€-1]_-;_-* &quot;-&quot;??\ [$€-1]_-"/>
    <numFmt numFmtId="191" formatCode="#,##0.00\ [$€-1]"/>
    <numFmt numFmtId="192" formatCode="#,##0.00\ &quot;€&quot;"/>
    <numFmt numFmtId="193" formatCode="#,##0.00\ [$€-1];\-#,##0.00\ [$€-1]"/>
  </numFmts>
  <fonts count="5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sz val="12"/>
      <color indexed="13"/>
      <name val="Arial MT"/>
      <family val="0"/>
    </font>
    <font>
      <b/>
      <sz val="12"/>
      <color indexed="13"/>
      <name val="Arial MT"/>
      <family val="0"/>
    </font>
    <font>
      <b/>
      <sz val="10"/>
      <color indexed="13"/>
      <name val="Arial MT"/>
      <family val="0"/>
    </font>
    <font>
      <b/>
      <sz val="12"/>
      <color indexed="9"/>
      <name val="Arial MT"/>
      <family val="0"/>
    </font>
    <font>
      <i/>
      <sz val="10"/>
      <name val="Arial MT"/>
      <family val="0"/>
    </font>
    <font>
      <b/>
      <i/>
      <sz val="10"/>
      <name val="Arial MT"/>
      <family val="0"/>
    </font>
    <font>
      <b/>
      <sz val="10"/>
      <name val="Arial MT"/>
      <family val="0"/>
    </font>
    <font>
      <sz val="12"/>
      <color indexed="9"/>
      <name val="Arial MT"/>
      <family val="0"/>
    </font>
    <font>
      <b/>
      <sz val="18"/>
      <name val="Arial MT"/>
      <family val="0"/>
    </font>
    <font>
      <sz val="8"/>
      <name val="Arial MT"/>
      <family val="0"/>
    </font>
    <font>
      <sz val="12"/>
      <color indexed="12"/>
      <name val="Arial MT"/>
      <family val="0"/>
    </font>
    <font>
      <sz val="22"/>
      <color indexed="12"/>
      <name val="Arial MT"/>
      <family val="0"/>
    </font>
    <font>
      <sz val="10"/>
      <color indexed="56"/>
      <name val="Arial MT"/>
      <family val="0"/>
    </font>
    <font>
      <b/>
      <sz val="12"/>
      <color indexed="12"/>
      <name val="Arial MT"/>
      <family val="0"/>
    </font>
    <font>
      <b/>
      <sz val="12"/>
      <color indexed="57"/>
      <name val="Arial MT"/>
      <family val="0"/>
    </font>
    <font>
      <b/>
      <sz val="10"/>
      <color indexed="57"/>
      <name val="Arial MT"/>
      <family val="0"/>
    </font>
    <font>
      <b/>
      <sz val="16"/>
      <name val="Arial MT"/>
      <family val="0"/>
    </font>
    <font>
      <b/>
      <sz val="12"/>
      <color indexed="10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name val="Arial MT"/>
      <family val="0"/>
    </font>
    <font>
      <b/>
      <u val="single"/>
      <sz val="14"/>
      <color indexed="10"/>
      <name val="Arial MT"/>
      <family val="0"/>
    </font>
    <font>
      <b/>
      <i/>
      <sz val="10"/>
      <color indexed="47"/>
      <name val="Arial MT"/>
      <family val="0"/>
    </font>
    <font>
      <b/>
      <sz val="10"/>
      <color indexed="47"/>
      <name val="Arial MT"/>
      <family val="0"/>
    </font>
    <font>
      <b/>
      <i/>
      <sz val="12"/>
      <name val="Arial MT"/>
      <family val="0"/>
    </font>
    <font>
      <sz val="14"/>
      <name val="Arial MT"/>
      <family val="0"/>
    </font>
    <font>
      <b/>
      <sz val="16"/>
      <color indexed="12"/>
      <name val="Arial MT"/>
      <family val="0"/>
    </font>
    <font>
      <sz val="48"/>
      <name val="Arial"/>
      <family val="2"/>
    </font>
    <font>
      <sz val="9"/>
      <name val="Arial MT"/>
      <family val="0"/>
    </font>
    <font>
      <b/>
      <sz val="36"/>
      <name val="Arial MT"/>
      <family val="0"/>
    </font>
    <font>
      <b/>
      <sz val="36"/>
      <color indexed="12"/>
      <name val="Arial MT"/>
      <family val="0"/>
    </font>
    <font>
      <b/>
      <sz val="28"/>
      <color indexed="10"/>
      <name val="Arial Narrow"/>
      <family val="2"/>
    </font>
    <font>
      <b/>
      <u val="single"/>
      <sz val="16"/>
      <color indexed="10"/>
      <name val="Arial MT"/>
      <family val="0"/>
    </font>
    <font>
      <b/>
      <sz val="22"/>
      <color indexed="10"/>
      <name val="Arial MT"/>
      <family val="0"/>
    </font>
    <font>
      <b/>
      <sz val="36"/>
      <color indexed="10"/>
      <name val="Arial MT"/>
      <family val="0"/>
    </font>
    <font>
      <b/>
      <u val="single"/>
      <sz val="16"/>
      <name val="Arial MT"/>
      <family val="0"/>
    </font>
    <font>
      <b/>
      <u val="single"/>
      <sz val="16"/>
      <color indexed="12"/>
      <name val="Arial MT"/>
      <family val="0"/>
    </font>
    <font>
      <sz val="16"/>
      <color indexed="10"/>
      <name val="Arial MT"/>
      <family val="0"/>
    </font>
    <font>
      <b/>
      <sz val="14"/>
      <color indexed="12"/>
      <name val="Arial MT"/>
      <family val="0"/>
    </font>
    <font>
      <b/>
      <sz val="14"/>
      <color indexed="8"/>
      <name val="Arial MT"/>
      <family val="0"/>
    </font>
    <font>
      <b/>
      <sz val="16"/>
      <color indexed="8"/>
      <name val="Arial MT"/>
      <family val="0"/>
    </font>
    <font>
      <b/>
      <sz val="16"/>
      <color indexed="9"/>
      <name val="Arial MT"/>
      <family val="0"/>
    </font>
    <font>
      <b/>
      <sz val="16"/>
      <color indexed="10"/>
      <name val="Arial MT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0">
    <xf numFmtId="180" fontId="0" fillId="0" borderId="0" xfId="0" applyAlignment="1">
      <alignment/>
    </xf>
    <xf numFmtId="180" fontId="27" fillId="2" borderId="1" xfId="0" applyFont="1" applyFill="1" applyBorder="1" applyAlignment="1" applyProtection="1">
      <alignment horizontal="center"/>
      <protection hidden="1"/>
    </xf>
    <xf numFmtId="180" fontId="27" fillId="2" borderId="0" xfId="0" applyFont="1" applyFill="1" applyBorder="1" applyAlignment="1" applyProtection="1">
      <alignment horizontal="center" vertical="center"/>
      <protection hidden="1"/>
    </xf>
    <xf numFmtId="180" fontId="34" fillId="2" borderId="0" xfId="0" applyFont="1" applyFill="1" applyBorder="1" applyAlignment="1" applyProtection="1">
      <alignment vertical="center"/>
      <protection hidden="1"/>
    </xf>
    <xf numFmtId="180" fontId="23" fillId="2" borderId="0" xfId="0" applyFont="1" applyFill="1" applyBorder="1" applyAlignment="1" applyProtection="1">
      <alignment horizontal="left" vertical="center"/>
      <protection hidden="1"/>
    </xf>
    <xf numFmtId="180" fontId="27" fillId="2" borderId="0" xfId="0" applyFont="1" applyFill="1" applyBorder="1" applyAlignment="1" applyProtection="1">
      <alignment horizontal="center"/>
      <protection hidden="1"/>
    </xf>
    <xf numFmtId="180" fontId="35" fillId="2" borderId="0" xfId="17" applyFont="1" applyFill="1" applyBorder="1" applyAlignment="1" applyProtection="1" quotePrefix="1">
      <alignment horizontal="center"/>
      <protection hidden="1"/>
    </xf>
    <xf numFmtId="180" fontId="32" fillId="2" borderId="0" xfId="0" applyFont="1" applyFill="1" applyBorder="1" applyAlignment="1" applyProtection="1">
      <alignment horizontal="center" vertical="center"/>
      <protection hidden="1"/>
    </xf>
    <xf numFmtId="180" fontId="38" fillId="2" borderId="2" xfId="0" applyFont="1" applyFill="1" applyBorder="1" applyAlignment="1" applyProtection="1">
      <alignment horizontal="center" vertical="center"/>
      <protection hidden="1" locked="0"/>
    </xf>
    <xf numFmtId="180" fontId="38" fillId="2" borderId="3" xfId="0" applyNumberFormat="1" applyFont="1" applyFill="1" applyBorder="1" applyAlignment="1" applyProtection="1">
      <alignment horizontal="center" vertical="center"/>
      <protection hidden="1" locked="0"/>
    </xf>
    <xf numFmtId="180" fontId="15" fillId="2" borderId="4" xfId="0" applyFont="1" applyFill="1" applyBorder="1" applyAlignment="1" applyProtection="1">
      <alignment horizontal="center" vertical="center"/>
      <protection hidden="1"/>
    </xf>
    <xf numFmtId="180" fontId="15" fillId="2" borderId="5" xfId="0" applyFont="1" applyFill="1" applyBorder="1" applyAlignment="1" applyProtection="1">
      <alignment horizontal="center" vertical="center"/>
      <protection hidden="1"/>
    </xf>
    <xf numFmtId="180" fontId="14" fillId="0" borderId="0" xfId="0" applyFont="1" applyAlignment="1" applyProtection="1">
      <alignment/>
      <protection hidden="1"/>
    </xf>
    <xf numFmtId="180" fontId="0" fillId="0" borderId="0" xfId="0" applyAlignment="1" applyProtection="1">
      <alignment/>
      <protection hidden="1"/>
    </xf>
    <xf numFmtId="180" fontId="0" fillId="2" borderId="6" xfId="0" applyFill="1" applyBorder="1" applyAlignment="1" applyProtection="1">
      <alignment/>
      <protection hidden="1"/>
    </xf>
    <xf numFmtId="180" fontId="0" fillId="2" borderId="4" xfId="0" applyFill="1" applyBorder="1" applyAlignment="1" applyProtection="1">
      <alignment/>
      <protection hidden="1"/>
    </xf>
    <xf numFmtId="180" fontId="14" fillId="0" borderId="0" xfId="0" applyFont="1" applyBorder="1" applyAlignment="1" applyProtection="1">
      <alignment/>
      <protection hidden="1"/>
    </xf>
    <xf numFmtId="180" fontId="12" fillId="2" borderId="6" xfId="0" applyFont="1" applyFill="1" applyBorder="1" applyAlignment="1" applyProtection="1">
      <alignment horizontal="right"/>
      <protection hidden="1"/>
    </xf>
    <xf numFmtId="180" fontId="0" fillId="2" borderId="0" xfId="0" applyFill="1" applyBorder="1" applyAlignment="1" applyProtection="1">
      <alignment/>
      <protection hidden="1"/>
    </xf>
    <xf numFmtId="180" fontId="12" fillId="2" borderId="0" xfId="0" applyFont="1" applyFill="1" applyBorder="1" applyAlignment="1" applyProtection="1">
      <alignment horizontal="center" vertical="center"/>
      <protection hidden="1"/>
    </xf>
    <xf numFmtId="180" fontId="0" fillId="2" borderId="7" xfId="0" applyFill="1" applyBorder="1" applyAlignment="1" applyProtection="1">
      <alignment/>
      <protection hidden="1"/>
    </xf>
    <xf numFmtId="180" fontId="5" fillId="2" borderId="0" xfId="0" applyFont="1" applyFill="1" applyBorder="1" applyAlignment="1" applyProtection="1">
      <alignment/>
      <protection hidden="1"/>
    </xf>
    <xf numFmtId="180" fontId="10" fillId="2" borderId="0" xfId="0" applyFont="1" applyFill="1" applyBorder="1" applyAlignment="1" applyProtection="1">
      <alignment/>
      <protection hidden="1"/>
    </xf>
    <xf numFmtId="180" fontId="20" fillId="2" borderId="8" xfId="0" applyFont="1" applyFill="1" applyBorder="1" applyAlignment="1" applyProtection="1" quotePrefix="1">
      <alignment horizontal="left"/>
      <protection hidden="1"/>
    </xf>
    <xf numFmtId="180" fontId="20" fillId="2" borderId="0" xfId="0" applyFont="1" applyFill="1" applyBorder="1" applyAlignment="1" applyProtection="1" quotePrefix="1">
      <alignment horizontal="left"/>
      <protection hidden="1"/>
    </xf>
    <xf numFmtId="180" fontId="6" fillId="2" borderId="0" xfId="0" applyFont="1" applyFill="1" applyBorder="1" applyAlignment="1" applyProtection="1">
      <alignment/>
      <protection hidden="1"/>
    </xf>
    <xf numFmtId="180" fontId="6" fillId="2" borderId="0" xfId="0" applyFont="1" applyFill="1" applyBorder="1" applyAlignment="1" applyProtection="1">
      <alignment horizontal="left" vertical="center"/>
      <protection hidden="1"/>
    </xf>
    <xf numFmtId="180" fontId="11" fillId="2" borderId="0" xfId="0" applyFont="1" applyFill="1" applyBorder="1" applyAlignment="1" applyProtection="1">
      <alignment/>
      <protection hidden="1"/>
    </xf>
    <xf numFmtId="180" fontId="31" fillId="2" borderId="0" xfId="0" applyFont="1" applyFill="1" applyBorder="1" applyAlignment="1" applyProtection="1">
      <alignment horizontal="right"/>
      <protection hidden="1"/>
    </xf>
    <xf numFmtId="180" fontId="6" fillId="2" borderId="7" xfId="0" applyFont="1" applyFill="1" applyBorder="1" applyAlignment="1" applyProtection="1">
      <alignment horizontal="left" vertical="center"/>
      <protection hidden="1"/>
    </xf>
    <xf numFmtId="180" fontId="20" fillId="2" borderId="8" xfId="0" applyFont="1" applyFill="1" applyBorder="1" applyAlignment="1" applyProtection="1">
      <alignment horizontal="left"/>
      <protection hidden="1"/>
    </xf>
    <xf numFmtId="180" fontId="11" fillId="2" borderId="0" xfId="0" applyFont="1" applyFill="1" applyBorder="1" applyAlignment="1" applyProtection="1">
      <alignment horizontal="center"/>
      <protection hidden="1"/>
    </xf>
    <xf numFmtId="180" fontId="29" fillId="2" borderId="0" xfId="0" applyFont="1" applyFill="1" applyBorder="1" applyAlignment="1" applyProtection="1">
      <alignment horizontal="right"/>
      <protection hidden="1"/>
    </xf>
    <xf numFmtId="180" fontId="30" fillId="2" borderId="0" xfId="0" applyNumberFormat="1" applyFont="1" applyFill="1" applyBorder="1" applyAlignment="1" applyProtection="1">
      <alignment/>
      <protection hidden="1"/>
    </xf>
    <xf numFmtId="180" fontId="19" fillId="2" borderId="7" xfId="0" applyFont="1" applyFill="1" applyBorder="1" applyAlignment="1" applyProtection="1">
      <alignment horizontal="center"/>
      <protection hidden="1"/>
    </xf>
    <xf numFmtId="180" fontId="20" fillId="2" borderId="0" xfId="0" applyFont="1" applyFill="1" applyBorder="1" applyAlignment="1" applyProtection="1">
      <alignment horizontal="left"/>
      <protection hidden="1"/>
    </xf>
    <xf numFmtId="180" fontId="7" fillId="2" borderId="0" xfId="0" applyFont="1" applyFill="1" applyBorder="1" applyAlignment="1" applyProtection="1">
      <alignment/>
      <protection hidden="1"/>
    </xf>
    <xf numFmtId="180" fontId="24" fillId="3" borderId="9" xfId="0" applyFont="1" applyFill="1" applyBorder="1" applyAlignment="1" applyProtection="1">
      <alignment horizontal="center"/>
      <protection hidden="1"/>
    </xf>
    <xf numFmtId="180" fontId="24" fillId="3" borderId="10" xfId="0" applyFont="1" applyFill="1" applyBorder="1" applyAlignment="1" applyProtection="1">
      <alignment horizontal="center"/>
      <protection hidden="1"/>
    </xf>
    <xf numFmtId="180" fontId="24" fillId="3" borderId="11" xfId="0" applyFont="1" applyFill="1" applyBorder="1" applyAlignment="1" applyProtection="1">
      <alignment horizontal="center"/>
      <protection hidden="1"/>
    </xf>
    <xf numFmtId="182" fontId="24" fillId="2" borderId="8" xfId="0" applyNumberFormat="1" applyFont="1" applyFill="1" applyBorder="1" applyAlignment="1" applyProtection="1" quotePrefix="1">
      <alignment horizontal="left" vertical="center"/>
      <protection hidden="1"/>
    </xf>
    <xf numFmtId="180" fontId="0" fillId="2" borderId="0" xfId="0" applyFont="1" applyFill="1" applyBorder="1" applyAlignment="1" applyProtection="1">
      <alignment horizontal="center" vertical="center"/>
      <protection hidden="1"/>
    </xf>
    <xf numFmtId="180" fontId="6" fillId="2" borderId="0" xfId="0" applyFont="1" applyFill="1" applyBorder="1" applyAlignment="1" applyProtection="1">
      <alignment horizontal="center" vertical="center"/>
      <protection hidden="1"/>
    </xf>
    <xf numFmtId="180" fontId="6" fillId="2" borderId="0" xfId="0" applyNumberFormat="1" applyFont="1" applyFill="1" applyBorder="1" applyAlignment="1" applyProtection="1">
      <alignment horizontal="center" vertical="center"/>
      <protection hidden="1"/>
    </xf>
    <xf numFmtId="180" fontId="6" fillId="2" borderId="7" xfId="0" applyNumberFormat="1" applyFont="1" applyFill="1" applyBorder="1" applyAlignment="1" applyProtection="1">
      <alignment horizontal="center" vertical="center"/>
      <protection hidden="1"/>
    </xf>
    <xf numFmtId="182" fontId="10" fillId="0" borderId="0" xfId="0" applyNumberFormat="1" applyFont="1" applyFill="1" applyBorder="1" applyAlignment="1" applyProtection="1">
      <alignment/>
      <protection hidden="1"/>
    </xf>
    <xf numFmtId="2" fontId="6" fillId="2" borderId="12" xfId="0" applyNumberFormat="1" applyFont="1" applyFill="1" applyBorder="1" applyAlignment="1" applyProtection="1">
      <alignment horizontal="center" vertical="center"/>
      <protection hidden="1"/>
    </xf>
    <xf numFmtId="190" fontId="23" fillId="2" borderId="0" xfId="0" applyNumberFormat="1" applyFont="1" applyFill="1" applyBorder="1" applyAlignment="1" applyProtection="1">
      <alignment horizontal="center" vertical="center"/>
      <protection hidden="1"/>
    </xf>
    <xf numFmtId="190" fontId="23" fillId="2" borderId="7" xfId="0" applyNumberFormat="1" applyFont="1" applyFill="1" applyBorder="1" applyAlignment="1" applyProtection="1">
      <alignment horizontal="center" vertical="center"/>
      <protection hidden="1"/>
    </xf>
    <xf numFmtId="190" fontId="33" fillId="2" borderId="0" xfId="0" applyNumberFormat="1" applyFont="1" applyFill="1" applyBorder="1" applyAlignment="1" applyProtection="1">
      <alignment horizontal="center" vertical="center"/>
      <protection hidden="1"/>
    </xf>
    <xf numFmtId="190" fontId="33" fillId="2" borderId="7" xfId="0" applyNumberFormat="1" applyFont="1" applyFill="1" applyBorder="1" applyAlignment="1" applyProtection="1">
      <alignment horizontal="center" vertical="center"/>
      <protection hidden="1"/>
    </xf>
    <xf numFmtId="180" fontId="14" fillId="0" borderId="0" xfId="0" applyFont="1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190" fontId="23" fillId="2" borderId="1" xfId="0" applyNumberFormat="1" applyFont="1" applyFill="1" applyBorder="1" applyAlignment="1" applyProtection="1">
      <alignment horizontal="center" vertical="center"/>
      <protection hidden="1"/>
    </xf>
    <xf numFmtId="190" fontId="23" fillId="2" borderId="3" xfId="0" applyNumberFormat="1" applyFont="1" applyFill="1" applyBorder="1" applyAlignment="1" applyProtection="1">
      <alignment horizontal="center" vertical="center"/>
      <protection hidden="1"/>
    </xf>
    <xf numFmtId="182" fontId="20" fillId="2" borderId="13" xfId="0" applyNumberFormat="1" applyFont="1" applyFill="1" applyBorder="1" applyAlignment="1" applyProtection="1">
      <alignment horizontal="center" vertical="center"/>
      <protection hidden="1"/>
    </xf>
    <xf numFmtId="180" fontId="20" fillId="2" borderId="1" xfId="0" applyFont="1" applyFill="1" applyBorder="1" applyAlignment="1" applyProtection="1">
      <alignment horizontal="center" vertical="center"/>
      <protection hidden="1"/>
    </xf>
    <xf numFmtId="2" fontId="20" fillId="2" borderId="14" xfId="0" applyNumberFormat="1" applyFont="1" applyFill="1" applyBorder="1" applyAlignment="1" applyProtection="1">
      <alignment horizontal="center" vertical="center"/>
      <protection hidden="1"/>
    </xf>
    <xf numFmtId="10" fontId="20" fillId="2" borderId="14" xfId="21" applyNumberFormat="1" applyFont="1" applyFill="1" applyBorder="1" applyAlignment="1" applyProtection="1">
      <alignment horizontal="center" vertical="center"/>
      <protection hidden="1"/>
    </xf>
    <xf numFmtId="10" fontId="20" fillId="2" borderId="15" xfId="21" applyNumberFormat="1" applyFont="1" applyFill="1" applyBorder="1" applyAlignment="1" applyProtection="1">
      <alignment horizontal="center" vertical="center"/>
      <protection hidden="1"/>
    </xf>
    <xf numFmtId="190" fontId="33" fillId="2" borderId="1" xfId="0" applyNumberFormat="1" applyFont="1" applyFill="1" applyBorder="1" applyAlignment="1" applyProtection="1">
      <alignment horizontal="center" vertical="center"/>
      <protection hidden="1"/>
    </xf>
    <xf numFmtId="190" fontId="33" fillId="2" borderId="3" xfId="0" applyNumberFormat="1" applyFont="1" applyFill="1" applyBorder="1" applyAlignment="1" applyProtection="1">
      <alignment horizontal="center" vertical="center"/>
      <protection hidden="1"/>
    </xf>
    <xf numFmtId="178" fontId="6" fillId="2" borderId="3" xfId="0" applyNumberFormat="1" applyFont="1" applyFill="1" applyBorder="1" applyAlignment="1" applyProtection="1" quotePrefix="1">
      <alignment horizontal="center" vertical="center" wrapText="1"/>
      <protection hidden="1"/>
    </xf>
    <xf numFmtId="182" fontId="10" fillId="4" borderId="0" xfId="0" applyNumberFormat="1" applyFont="1" applyFill="1" applyBorder="1" applyAlignment="1" applyProtection="1">
      <alignment/>
      <protection hidden="1"/>
    </xf>
    <xf numFmtId="182" fontId="21" fillId="2" borderId="13" xfId="0" applyNumberFormat="1" applyFont="1" applyFill="1" applyBorder="1" applyAlignment="1" applyProtection="1">
      <alignment/>
      <protection hidden="1"/>
    </xf>
    <xf numFmtId="180" fontId="22" fillId="2" borderId="1" xfId="0" applyFont="1" applyFill="1" applyBorder="1" applyAlignment="1" applyProtection="1">
      <alignment/>
      <protection hidden="1"/>
    </xf>
    <xf numFmtId="180" fontId="9" fillId="2" borderId="1" xfId="0" applyFont="1" applyFill="1" applyBorder="1" applyAlignment="1" applyProtection="1">
      <alignment/>
      <protection hidden="1"/>
    </xf>
    <xf numFmtId="178" fontId="23" fillId="2" borderId="1" xfId="0" applyNumberFormat="1" applyFont="1" applyFill="1" applyBorder="1" applyAlignment="1" applyProtection="1">
      <alignment/>
      <protection hidden="1"/>
    </xf>
    <xf numFmtId="178" fontId="9" fillId="2" borderId="1" xfId="0" applyNumberFormat="1" applyFont="1" applyFill="1" applyBorder="1" applyAlignment="1" applyProtection="1">
      <alignment/>
      <protection hidden="1"/>
    </xf>
    <xf numFmtId="178" fontId="13" fillId="2" borderId="1" xfId="0" applyNumberFormat="1" applyFont="1" applyFill="1" applyBorder="1" applyAlignment="1" applyProtection="1">
      <alignment/>
      <protection hidden="1"/>
    </xf>
    <xf numFmtId="178" fontId="9" fillId="2" borderId="3" xfId="0" applyNumberFormat="1" applyFont="1" applyFill="1" applyBorder="1" applyAlignment="1" applyProtection="1">
      <alignment/>
      <protection hidden="1"/>
    </xf>
    <xf numFmtId="182" fontId="21" fillId="2" borderId="8" xfId="0" applyNumberFormat="1" applyFont="1" applyFill="1" applyBorder="1" applyAlignment="1" applyProtection="1">
      <alignment/>
      <protection hidden="1"/>
    </xf>
    <xf numFmtId="182" fontId="21" fillId="2" borderId="0" xfId="0" applyNumberFormat="1" applyFont="1" applyFill="1" applyBorder="1" applyAlignment="1" applyProtection="1">
      <alignment/>
      <protection hidden="1"/>
    </xf>
    <xf numFmtId="180" fontId="9" fillId="2" borderId="0" xfId="0" applyFont="1" applyFill="1" applyBorder="1" applyAlignment="1" applyProtection="1">
      <alignment/>
      <protection hidden="1"/>
    </xf>
    <xf numFmtId="178" fontId="9" fillId="2" borderId="0" xfId="0" applyNumberFormat="1" applyFont="1" applyFill="1" applyBorder="1" applyAlignment="1" applyProtection="1">
      <alignment/>
      <protection hidden="1"/>
    </xf>
    <xf numFmtId="178" fontId="9" fillId="2" borderId="7" xfId="0" applyNumberFormat="1" applyFont="1" applyFill="1" applyBorder="1" applyAlignment="1" applyProtection="1">
      <alignment/>
      <protection hidden="1"/>
    </xf>
    <xf numFmtId="182" fontId="8" fillId="2" borderId="0" xfId="0" applyNumberFormat="1" applyFont="1" applyFill="1" applyBorder="1" applyAlignment="1" applyProtection="1">
      <alignment/>
      <protection hidden="1"/>
    </xf>
    <xf numFmtId="182" fontId="21" fillId="2" borderId="1" xfId="0" applyNumberFormat="1" applyFont="1" applyFill="1" applyBorder="1" applyAlignment="1" applyProtection="1">
      <alignment/>
      <protection hidden="1"/>
    </xf>
    <xf numFmtId="182" fontId="8" fillId="2" borderId="1" xfId="0" applyNumberFormat="1" applyFont="1" applyFill="1" applyBorder="1" applyAlignment="1" applyProtection="1">
      <alignment/>
      <protection hidden="1"/>
    </xf>
    <xf numFmtId="180" fontId="0" fillId="0" borderId="0" xfId="0" applyFont="1" applyFill="1" applyAlignment="1" applyProtection="1">
      <alignment/>
      <protection hidden="1"/>
    </xf>
    <xf numFmtId="180" fontId="32" fillId="0" borderId="0" xfId="0" applyFont="1" applyFill="1" applyAlignment="1" applyProtection="1">
      <alignment horizontal="center" vertical="center"/>
      <protection hidden="1"/>
    </xf>
    <xf numFmtId="180" fontId="0" fillId="0" borderId="0" xfId="0" applyFont="1" applyAlignment="1" applyProtection="1">
      <alignment/>
      <protection hidden="1"/>
    </xf>
    <xf numFmtId="180" fontId="14" fillId="0" borderId="0" xfId="0" applyFont="1" applyFill="1" applyAlignment="1" applyProtection="1">
      <alignment/>
      <protection hidden="1"/>
    </xf>
    <xf numFmtId="180" fontId="14" fillId="0" borderId="0" xfId="0" applyFont="1" applyFill="1" applyBorder="1" applyAlignment="1" applyProtection="1">
      <alignment horizontal="center"/>
      <protection hidden="1"/>
    </xf>
    <xf numFmtId="180" fontId="14" fillId="0" borderId="0" xfId="0" applyFont="1" applyFill="1" applyBorder="1" applyAlignment="1" applyProtection="1" quotePrefix="1">
      <alignment horizontal="center"/>
      <protection hidden="1"/>
    </xf>
    <xf numFmtId="180" fontId="14" fillId="0" borderId="0" xfId="0" applyFont="1" applyBorder="1" applyAlignment="1" applyProtection="1" quotePrefix="1">
      <alignment horizontal="center"/>
      <protection hidden="1"/>
    </xf>
    <xf numFmtId="180" fontId="14" fillId="0" borderId="0" xfId="0" applyFont="1" applyBorder="1" applyAlignment="1" applyProtection="1">
      <alignment horizontal="center"/>
      <protection hidden="1"/>
    </xf>
    <xf numFmtId="183" fontId="14" fillId="0" borderId="0" xfId="0" applyNumberFormat="1" applyFont="1" applyBorder="1" applyAlignment="1" applyProtection="1">
      <alignment horizontal="center"/>
      <protection hidden="1"/>
    </xf>
    <xf numFmtId="191" fontId="14" fillId="0" borderId="0" xfId="0" applyNumberFormat="1" applyFont="1" applyFill="1" applyBorder="1" applyAlignment="1" applyProtection="1">
      <alignment/>
      <protection hidden="1"/>
    </xf>
    <xf numFmtId="183" fontId="14" fillId="0" borderId="0" xfId="0" applyNumberFormat="1" applyFont="1" applyFill="1" applyBorder="1" applyAlignment="1" applyProtection="1">
      <alignment/>
      <protection hidden="1"/>
    </xf>
    <xf numFmtId="190" fontId="14" fillId="0" borderId="0" xfId="0" applyNumberFormat="1" applyFont="1" applyFill="1" applyBorder="1" applyAlignment="1" applyProtection="1">
      <alignment/>
      <protection hidden="1"/>
    </xf>
    <xf numFmtId="190" fontId="14" fillId="0" borderId="0" xfId="0" applyNumberFormat="1" applyFont="1" applyBorder="1" applyAlignment="1" applyProtection="1">
      <alignment/>
      <protection hidden="1"/>
    </xf>
    <xf numFmtId="180" fontId="0" fillId="4" borderId="0" xfId="0" applyFill="1" applyAlignment="1" applyProtection="1">
      <alignment/>
      <protection hidden="1"/>
    </xf>
    <xf numFmtId="180" fontId="0" fillId="2" borderId="16" xfId="0" applyFill="1" applyBorder="1" applyAlignment="1" applyProtection="1">
      <alignment/>
      <protection hidden="1"/>
    </xf>
    <xf numFmtId="180" fontId="0" fillId="2" borderId="8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180" fontId="0" fillId="2" borderId="8" xfId="0" applyFill="1" applyBorder="1" applyAlignment="1" applyProtection="1">
      <alignment/>
      <protection hidden="1"/>
    </xf>
    <xf numFmtId="180" fontId="0" fillId="2" borderId="7" xfId="0" applyFill="1" applyBorder="1" applyAlignment="1" applyProtection="1">
      <alignment/>
      <protection hidden="1"/>
    </xf>
    <xf numFmtId="180" fontId="0" fillId="2" borderId="0" xfId="0" applyFill="1" applyBorder="1" applyAlignment="1" applyProtection="1">
      <alignment/>
      <protection hidden="1"/>
    </xf>
    <xf numFmtId="180" fontId="0" fillId="2" borderId="13" xfId="0" applyFill="1" applyBorder="1" applyAlignment="1" applyProtection="1">
      <alignment/>
      <protection hidden="1"/>
    </xf>
    <xf numFmtId="180" fontId="0" fillId="2" borderId="1" xfId="0" applyFill="1" applyBorder="1" applyAlignment="1" applyProtection="1">
      <alignment/>
      <protection hidden="1"/>
    </xf>
    <xf numFmtId="180" fontId="24" fillId="2" borderId="1" xfId="0" applyFont="1" applyFill="1" applyBorder="1" applyAlignment="1" applyProtection="1">
      <alignment horizontal="center" vertical="center"/>
      <protection hidden="1"/>
    </xf>
    <xf numFmtId="180" fontId="0" fillId="2" borderId="3" xfId="0" applyFill="1" applyBorder="1" applyAlignment="1" applyProtection="1">
      <alignment/>
      <protection hidden="1"/>
    </xf>
    <xf numFmtId="182" fontId="6" fillId="2" borderId="8" xfId="0" applyNumberFormat="1" applyFont="1" applyFill="1" applyBorder="1" applyAlignment="1" applyProtection="1">
      <alignment horizontal="center" vertical="center"/>
      <protection hidden="1"/>
    </xf>
    <xf numFmtId="180" fontId="0" fillId="0" borderId="0" xfId="0" applyFont="1" applyFill="1" applyAlignment="1" applyProtection="1">
      <alignment/>
      <protection hidden="1"/>
    </xf>
    <xf numFmtId="180" fontId="0" fillId="0" borderId="0" xfId="0" applyFont="1" applyAlignment="1" applyProtection="1">
      <alignment/>
      <protection hidden="1"/>
    </xf>
    <xf numFmtId="180" fontId="0" fillId="4" borderId="0" xfId="0" applyFill="1" applyBorder="1" applyAlignment="1" applyProtection="1">
      <alignment/>
      <protection hidden="1"/>
    </xf>
    <xf numFmtId="180" fontId="40" fillId="2" borderId="16" xfId="0" applyNumberFormat="1" applyFont="1" applyFill="1" applyBorder="1" applyAlignment="1" applyProtection="1">
      <alignment horizontal="left"/>
      <protection hidden="1"/>
    </xf>
    <xf numFmtId="180" fontId="28" fillId="2" borderId="0" xfId="0" applyFont="1" applyFill="1" applyBorder="1" applyAlignment="1" applyProtection="1">
      <alignment horizontal="center" vertical="center"/>
      <protection hidden="1"/>
    </xf>
    <xf numFmtId="180" fontId="0" fillId="4" borderId="6" xfId="0" applyFill="1" applyBorder="1" applyAlignment="1" applyProtection="1">
      <alignment/>
      <protection hidden="1"/>
    </xf>
    <xf numFmtId="180" fontId="0" fillId="4" borderId="4" xfId="0" applyFill="1" applyBorder="1" applyAlignment="1" applyProtection="1">
      <alignment/>
      <protection hidden="1"/>
    </xf>
    <xf numFmtId="180" fontId="0" fillId="4" borderId="7" xfId="0" applyFill="1" applyBorder="1" applyAlignment="1" applyProtection="1">
      <alignment/>
      <protection hidden="1"/>
    </xf>
    <xf numFmtId="180" fontId="0" fillId="4" borderId="0" xfId="0" applyFill="1" applyAlignment="1" applyProtection="1">
      <alignment horizontal="center"/>
      <protection hidden="1"/>
    </xf>
    <xf numFmtId="180" fontId="17" fillId="4" borderId="0" xfId="0" applyFont="1" applyFill="1" applyAlignment="1" applyProtection="1">
      <alignment horizontal="center" wrapText="1"/>
      <protection hidden="1"/>
    </xf>
    <xf numFmtId="180" fontId="0" fillId="4" borderId="0" xfId="0" applyFill="1" applyAlignment="1" applyProtection="1">
      <alignment/>
      <protection hidden="1"/>
    </xf>
    <xf numFmtId="180" fontId="13" fillId="2" borderId="0" xfId="0" applyFont="1" applyFill="1" applyBorder="1" applyAlignment="1" applyProtection="1">
      <alignment/>
      <protection hidden="1"/>
    </xf>
    <xf numFmtId="180" fontId="13" fillId="2" borderId="0" xfId="0" applyFont="1" applyFill="1" applyBorder="1" applyAlignment="1" applyProtection="1">
      <alignment horizontal="left"/>
      <protection hidden="1"/>
    </xf>
    <xf numFmtId="180" fontId="12" fillId="2" borderId="0" xfId="0" applyFont="1" applyFill="1" applyBorder="1" applyAlignment="1" applyProtection="1">
      <alignment horizontal="left" vertical="center"/>
      <protection hidden="1"/>
    </xf>
    <xf numFmtId="180" fontId="12" fillId="2" borderId="0" xfId="0" applyFont="1" applyFill="1" applyBorder="1" applyAlignment="1" applyProtection="1">
      <alignment horizontal="right"/>
      <protection hidden="1"/>
    </xf>
    <xf numFmtId="180" fontId="18" fillId="2" borderId="17" xfId="0" applyNumberFormat="1" applyFont="1" applyFill="1" applyBorder="1" applyAlignment="1" applyProtection="1">
      <alignment horizontal="left"/>
      <protection hidden="1"/>
    </xf>
    <xf numFmtId="180" fontId="0" fillId="2" borderId="18" xfId="0" applyFill="1" applyBorder="1" applyAlignment="1" applyProtection="1">
      <alignment/>
      <protection hidden="1"/>
    </xf>
    <xf numFmtId="180" fontId="0" fillId="2" borderId="5" xfId="0" applyFill="1" applyBorder="1" applyAlignment="1" applyProtection="1">
      <alignment/>
      <protection hidden="1"/>
    </xf>
    <xf numFmtId="180" fontId="6" fillId="2" borderId="19" xfId="0" applyFont="1" applyFill="1" applyBorder="1" applyAlignment="1" applyProtection="1">
      <alignment horizontal="center" vertical="center" wrapText="1"/>
      <protection hidden="1"/>
    </xf>
    <xf numFmtId="180" fontId="24" fillId="2" borderId="20" xfId="0" applyFont="1" applyFill="1" applyBorder="1" applyAlignment="1" applyProtection="1">
      <alignment horizontal="center" vertical="center" wrapText="1"/>
      <protection hidden="1"/>
    </xf>
    <xf numFmtId="180" fontId="6" fillId="2" borderId="19" xfId="0" applyFont="1" applyFill="1" applyBorder="1" applyAlignment="1" applyProtection="1" quotePrefix="1">
      <alignment horizontal="center" vertical="center" wrapText="1"/>
      <protection hidden="1"/>
    </xf>
    <xf numFmtId="180" fontId="12" fillId="2" borderId="0" xfId="0" applyFont="1" applyFill="1" applyBorder="1" applyAlignment="1" applyProtection="1">
      <alignment horizontal="right" vertical="center"/>
      <protection hidden="1"/>
    </xf>
    <xf numFmtId="10" fontId="27" fillId="2" borderId="12" xfId="21" applyNumberFormat="1" applyFont="1" applyFill="1" applyBorder="1" applyAlignment="1" applyProtection="1">
      <alignment horizontal="center" vertical="center"/>
      <protection hidden="1"/>
    </xf>
    <xf numFmtId="182" fontId="27" fillId="2" borderId="8" xfId="0" applyNumberFormat="1" applyFont="1" applyFill="1" applyBorder="1" applyAlignment="1" applyProtection="1">
      <alignment horizontal="right" vertical="center"/>
      <protection hidden="1"/>
    </xf>
    <xf numFmtId="2" fontId="27" fillId="2" borderId="12" xfId="0" applyNumberFormat="1" applyFont="1" applyFill="1" applyBorder="1" applyAlignment="1" applyProtection="1">
      <alignment horizontal="center" vertical="center"/>
      <protection hidden="1"/>
    </xf>
    <xf numFmtId="10" fontId="27" fillId="2" borderId="21" xfId="21" applyNumberFormat="1" applyFont="1" applyFill="1" applyBorder="1" applyAlignment="1" applyProtection="1">
      <alignment horizontal="center" vertical="center"/>
      <protection hidden="1"/>
    </xf>
    <xf numFmtId="182" fontId="45" fillId="2" borderId="8" xfId="0" applyNumberFormat="1" applyFont="1" applyFill="1" applyBorder="1" applyAlignment="1" applyProtection="1">
      <alignment horizontal="right" vertical="center"/>
      <protection hidden="1"/>
    </xf>
    <xf numFmtId="180" fontId="45" fillId="2" borderId="0" xfId="0" applyFont="1" applyFill="1" applyBorder="1" applyAlignment="1" applyProtection="1">
      <alignment horizontal="center" vertical="center"/>
      <protection hidden="1"/>
    </xf>
    <xf numFmtId="2" fontId="45" fillId="2" borderId="12" xfId="0" applyNumberFormat="1" applyFont="1" applyFill="1" applyBorder="1" applyAlignment="1" applyProtection="1">
      <alignment horizontal="center" vertical="center"/>
      <protection hidden="1"/>
    </xf>
    <xf numFmtId="10" fontId="45" fillId="2" borderId="12" xfId="21" applyNumberFormat="1" applyFont="1" applyFill="1" applyBorder="1" applyAlignment="1" applyProtection="1">
      <alignment horizontal="center" vertical="center"/>
      <protection hidden="1"/>
    </xf>
    <xf numFmtId="10" fontId="45" fillId="2" borderId="21" xfId="21" applyNumberFormat="1" applyFont="1" applyFill="1" applyBorder="1" applyAlignment="1" applyProtection="1">
      <alignment horizontal="center" vertical="center"/>
      <protection hidden="1"/>
    </xf>
    <xf numFmtId="1" fontId="27" fillId="2" borderId="8" xfId="0" applyNumberFormat="1" applyFont="1" applyFill="1" applyBorder="1" applyAlignment="1" applyProtection="1">
      <alignment horizontal="right" vertical="center"/>
      <protection hidden="1"/>
    </xf>
    <xf numFmtId="1" fontId="45" fillId="2" borderId="8" xfId="0" applyNumberFormat="1" applyFont="1" applyFill="1" applyBorder="1" applyAlignment="1" applyProtection="1">
      <alignment horizontal="right" vertical="center"/>
      <protection hidden="1"/>
    </xf>
    <xf numFmtId="182" fontId="27" fillId="2" borderId="13" xfId="0" applyNumberFormat="1" applyFont="1" applyFill="1" applyBorder="1" applyAlignment="1" applyProtection="1">
      <alignment horizontal="right" vertical="center"/>
      <protection hidden="1"/>
    </xf>
    <xf numFmtId="180" fontId="27" fillId="2" borderId="1" xfId="0" applyFont="1" applyFill="1" applyBorder="1" applyAlignment="1" applyProtection="1">
      <alignment horizontal="center" vertical="center"/>
      <protection hidden="1"/>
    </xf>
    <xf numFmtId="2" fontId="27" fillId="2" borderId="14" xfId="0" applyNumberFormat="1" applyFont="1" applyFill="1" applyBorder="1" applyAlignment="1" applyProtection="1">
      <alignment horizontal="center" vertical="center"/>
      <protection hidden="1"/>
    </xf>
    <xf numFmtId="10" fontId="27" fillId="2" borderId="14" xfId="21" applyNumberFormat="1" applyFont="1" applyFill="1" applyBorder="1" applyAlignment="1" applyProtection="1">
      <alignment horizontal="center" vertical="center"/>
      <protection hidden="1"/>
    </xf>
    <xf numFmtId="10" fontId="27" fillId="2" borderId="15" xfId="21" applyNumberFormat="1" applyFont="1" applyFill="1" applyBorder="1" applyAlignment="1" applyProtection="1">
      <alignment horizontal="center" vertical="center"/>
      <protection hidden="1"/>
    </xf>
    <xf numFmtId="182" fontId="45" fillId="2" borderId="13" xfId="0" applyNumberFormat="1" applyFont="1" applyFill="1" applyBorder="1" applyAlignment="1" applyProtection="1">
      <alignment horizontal="right" vertical="center"/>
      <protection hidden="1"/>
    </xf>
    <xf numFmtId="180" fontId="45" fillId="2" borderId="1" xfId="0" applyFont="1" applyFill="1" applyBorder="1" applyAlignment="1" applyProtection="1">
      <alignment horizontal="center" vertical="center"/>
      <protection hidden="1"/>
    </xf>
    <xf numFmtId="2" fontId="45" fillId="2" borderId="14" xfId="0" applyNumberFormat="1" applyFont="1" applyFill="1" applyBorder="1" applyAlignment="1" applyProtection="1">
      <alignment horizontal="center" vertical="center"/>
      <protection hidden="1"/>
    </xf>
    <xf numFmtId="10" fontId="45" fillId="2" borderId="14" xfId="21" applyNumberFormat="1" applyFont="1" applyFill="1" applyBorder="1" applyAlignment="1" applyProtection="1">
      <alignment horizontal="center" vertical="center"/>
      <protection hidden="1"/>
    </xf>
    <xf numFmtId="10" fontId="45" fillId="2" borderId="15" xfId="21" applyNumberFormat="1" applyFont="1" applyFill="1" applyBorder="1" applyAlignment="1" applyProtection="1">
      <alignment horizontal="center" vertical="center"/>
      <protection hidden="1"/>
    </xf>
    <xf numFmtId="180" fontId="0" fillId="0" borderId="0" xfId="0" applyFont="1" applyBorder="1" applyAlignment="1" applyProtection="1">
      <alignment/>
      <protection hidden="1"/>
    </xf>
    <xf numFmtId="180" fontId="23" fillId="5" borderId="22" xfId="0" applyFont="1" applyFill="1" applyBorder="1" applyAlignment="1" applyProtection="1">
      <alignment horizontal="center" vertical="center"/>
      <protection hidden="1"/>
    </xf>
    <xf numFmtId="180" fontId="23" fillId="5" borderId="23" xfId="0" applyNumberFormat="1" applyFont="1" applyFill="1" applyBorder="1" applyAlignment="1" applyProtection="1">
      <alignment horizontal="center" vertical="center"/>
      <protection hidden="1"/>
    </xf>
    <xf numFmtId="186" fontId="46" fillId="0" borderId="10" xfId="0" applyNumberFormat="1" applyFont="1" applyFill="1" applyBorder="1" applyAlignment="1" applyProtection="1">
      <alignment horizontal="center" vertical="center"/>
      <protection hidden="1"/>
    </xf>
    <xf numFmtId="186" fontId="47" fillId="0" borderId="10" xfId="0" applyNumberFormat="1" applyFont="1" applyFill="1" applyBorder="1" applyAlignment="1" applyProtection="1">
      <alignment horizontal="center" vertical="center"/>
      <protection hidden="1"/>
    </xf>
    <xf numFmtId="180" fontId="10" fillId="6" borderId="0" xfId="0" applyNumberFormat="1" applyFont="1" applyFill="1" applyBorder="1" applyAlignment="1" applyProtection="1">
      <alignment horizontal="center" vertical="center"/>
      <protection hidden="1"/>
    </xf>
    <xf numFmtId="190" fontId="48" fillId="6" borderId="0" xfId="0" applyNumberFormat="1" applyFont="1" applyFill="1" applyBorder="1" applyAlignment="1" applyProtection="1">
      <alignment horizontal="center" vertical="center"/>
      <protection hidden="1"/>
    </xf>
    <xf numFmtId="190" fontId="48" fillId="6" borderId="1" xfId="0" applyNumberFormat="1" applyFont="1" applyFill="1" applyBorder="1" applyAlignment="1" applyProtection="1">
      <alignment horizontal="center" vertical="center"/>
      <protection hidden="1"/>
    </xf>
    <xf numFmtId="192" fontId="14" fillId="0" borderId="0" xfId="0" applyNumberFormat="1" applyFont="1" applyFill="1" applyBorder="1" applyAlignment="1" applyProtection="1">
      <alignment/>
      <protection hidden="1"/>
    </xf>
    <xf numFmtId="182" fontId="10" fillId="6" borderId="8" xfId="0" applyNumberFormat="1" applyFont="1" applyFill="1" applyBorder="1" applyAlignment="1" applyProtection="1">
      <alignment/>
      <protection hidden="1"/>
    </xf>
    <xf numFmtId="182" fontId="10" fillId="6" borderId="0" xfId="0" applyNumberFormat="1" applyFont="1" applyFill="1" applyBorder="1" applyAlignment="1" applyProtection="1">
      <alignment/>
      <protection hidden="1"/>
    </xf>
    <xf numFmtId="192" fontId="14" fillId="0" borderId="0" xfId="0" applyNumberFormat="1" applyFont="1" applyFill="1" applyBorder="1" applyAlignment="1" applyProtection="1">
      <alignment/>
      <protection hidden="1"/>
    </xf>
    <xf numFmtId="192" fontId="14" fillId="0" borderId="0" xfId="0" applyNumberFormat="1" applyFont="1" applyBorder="1" applyAlignment="1" applyProtection="1">
      <alignment/>
      <protection hidden="1"/>
    </xf>
    <xf numFmtId="180" fontId="5" fillId="4" borderId="16" xfId="0" applyFont="1" applyFill="1" applyBorder="1" applyAlignment="1" applyProtection="1">
      <alignment/>
      <protection hidden="1"/>
    </xf>
    <xf numFmtId="180" fontId="5" fillId="4" borderId="8" xfId="0" applyFont="1" applyFill="1" applyBorder="1" applyAlignment="1" applyProtection="1">
      <alignment/>
      <protection hidden="1"/>
    </xf>
    <xf numFmtId="182" fontId="5" fillId="4" borderId="8" xfId="0" applyNumberFormat="1" applyFont="1" applyFill="1" applyBorder="1" applyAlignment="1" applyProtection="1">
      <alignment/>
      <protection hidden="1"/>
    </xf>
    <xf numFmtId="180" fontId="8" fillId="4" borderId="0" xfId="0" applyFont="1" applyFill="1" applyBorder="1" applyAlignment="1" applyProtection="1">
      <alignment/>
      <protection hidden="1"/>
    </xf>
    <xf numFmtId="180" fontId="28" fillId="4" borderId="7" xfId="0" applyFont="1" applyFill="1" applyBorder="1" applyAlignment="1" applyProtection="1">
      <alignment horizontal="right" vertical="center"/>
      <protection hidden="1"/>
    </xf>
    <xf numFmtId="180" fontId="20" fillId="4" borderId="0" xfId="0" applyFont="1" applyFill="1" applyBorder="1" applyAlignment="1" applyProtection="1" quotePrefix="1">
      <alignment horizontal="left"/>
      <protection hidden="1"/>
    </xf>
    <xf numFmtId="180" fontId="42" fillId="4" borderId="4" xfId="17" applyFont="1" applyFill="1" applyBorder="1" applyAlignment="1" applyProtection="1">
      <alignment horizontal="center" vertical="center"/>
      <protection hidden="1"/>
    </xf>
    <xf numFmtId="180" fontId="42" fillId="4" borderId="16" xfId="17" applyFont="1" applyFill="1" applyBorder="1" applyAlignment="1" applyProtection="1">
      <alignment horizontal="center" vertical="center" wrapText="1"/>
      <protection hidden="1"/>
    </xf>
    <xf numFmtId="180" fontId="42" fillId="4" borderId="6" xfId="17" applyFont="1" applyFill="1" applyBorder="1" applyAlignment="1" applyProtection="1">
      <alignment horizontal="center" vertical="center"/>
      <protection hidden="1"/>
    </xf>
    <xf numFmtId="180" fontId="42" fillId="4" borderId="13" xfId="17" applyFont="1" applyFill="1" applyBorder="1" applyAlignment="1" applyProtection="1">
      <alignment horizontal="center" vertical="center"/>
      <protection hidden="1"/>
    </xf>
    <xf numFmtId="180" fontId="42" fillId="4" borderId="1" xfId="17" applyFont="1" applyFill="1" applyBorder="1" applyAlignment="1" applyProtection="1">
      <alignment horizontal="center" vertical="center"/>
      <protection hidden="1"/>
    </xf>
    <xf numFmtId="180" fontId="42" fillId="4" borderId="3" xfId="17" applyFont="1" applyFill="1" applyBorder="1" applyAlignment="1" applyProtection="1">
      <alignment horizontal="center" vertical="center"/>
      <protection hidden="1"/>
    </xf>
    <xf numFmtId="180" fontId="42" fillId="4" borderId="17" xfId="17" applyFont="1" applyFill="1" applyBorder="1" applyAlignment="1" applyProtection="1">
      <alignment horizontal="center" vertical="center" wrapText="1"/>
      <protection hidden="1"/>
    </xf>
    <xf numFmtId="180" fontId="42" fillId="4" borderId="18" xfId="17" applyFont="1" applyFill="1" applyBorder="1" applyAlignment="1" applyProtection="1">
      <alignment horizontal="center" vertical="center"/>
      <protection hidden="1"/>
    </xf>
    <xf numFmtId="180" fontId="42" fillId="4" borderId="5" xfId="17" applyFont="1" applyFill="1" applyBorder="1" applyAlignment="1" applyProtection="1">
      <alignment horizontal="center" vertical="center"/>
      <protection hidden="1"/>
    </xf>
    <xf numFmtId="180" fontId="41" fillId="2" borderId="8" xfId="0" applyNumberFormat="1" applyFont="1" applyFill="1" applyBorder="1" applyAlignment="1" applyProtection="1">
      <alignment horizontal="center"/>
      <protection hidden="1"/>
    </xf>
    <xf numFmtId="180" fontId="36" fillId="2" borderId="0" xfId="0" applyNumberFormat="1" applyFont="1" applyFill="1" applyBorder="1" applyAlignment="1" applyProtection="1">
      <alignment horizontal="center"/>
      <protection hidden="1"/>
    </xf>
    <xf numFmtId="180" fontId="36" fillId="2" borderId="7" xfId="0" applyNumberFormat="1" applyFont="1" applyFill="1" applyBorder="1" applyAlignment="1" applyProtection="1">
      <alignment horizontal="center"/>
      <protection hidden="1"/>
    </xf>
    <xf numFmtId="180" fontId="36" fillId="2" borderId="8" xfId="0" applyNumberFormat="1" applyFont="1" applyFill="1" applyBorder="1" applyAlignment="1" applyProtection="1">
      <alignment horizontal="center"/>
      <protection hidden="1"/>
    </xf>
    <xf numFmtId="180" fontId="15" fillId="2" borderId="16" xfId="0" applyFont="1" applyFill="1" applyBorder="1" applyAlignment="1" applyProtection="1">
      <alignment horizontal="center" vertical="center"/>
      <protection hidden="1"/>
    </xf>
    <xf numFmtId="180" fontId="15" fillId="2" borderId="6" xfId="0" applyFont="1" applyFill="1" applyBorder="1" applyAlignment="1" applyProtection="1">
      <alignment horizontal="center" vertical="center"/>
      <protection hidden="1"/>
    </xf>
    <xf numFmtId="180" fontId="15" fillId="2" borderId="17" xfId="0" applyFont="1" applyFill="1" applyBorder="1" applyAlignment="1" applyProtection="1">
      <alignment horizontal="center" vertical="center"/>
      <protection hidden="1"/>
    </xf>
    <xf numFmtId="180" fontId="15" fillId="2" borderId="18" xfId="0" applyFont="1" applyFill="1" applyBorder="1" applyAlignment="1" applyProtection="1">
      <alignment horizontal="center" vertical="center"/>
      <protection hidden="1"/>
    </xf>
    <xf numFmtId="178" fontId="23" fillId="2" borderId="13" xfId="0" applyNumberFormat="1" applyFont="1" applyFill="1" applyBorder="1" applyAlignment="1" applyProtection="1" quotePrefix="1">
      <alignment horizontal="center" vertical="center"/>
      <protection hidden="1"/>
    </xf>
    <xf numFmtId="178" fontId="23" fillId="2" borderId="1" xfId="0" applyNumberFormat="1" applyFont="1" applyFill="1" applyBorder="1" applyAlignment="1" applyProtection="1">
      <alignment horizontal="center" vertical="center"/>
      <protection hidden="1"/>
    </xf>
    <xf numFmtId="178" fontId="23" fillId="2" borderId="3" xfId="0" applyNumberFormat="1" applyFont="1" applyFill="1" applyBorder="1" applyAlignment="1" applyProtection="1">
      <alignment horizontal="center" vertical="center"/>
      <protection hidden="1"/>
    </xf>
    <xf numFmtId="180" fontId="5" fillId="2" borderId="6" xfId="0" applyFont="1" applyFill="1" applyBorder="1" applyAlignment="1" applyProtection="1">
      <alignment horizontal="center"/>
      <protection hidden="1"/>
    </xf>
    <xf numFmtId="180" fontId="5" fillId="2" borderId="4" xfId="0" applyFont="1" applyFill="1" applyBorder="1" applyAlignment="1" applyProtection="1">
      <alignment horizontal="center"/>
      <protection hidden="1"/>
    </xf>
    <xf numFmtId="178" fontId="5" fillId="2" borderId="6" xfId="0" applyNumberFormat="1" applyFont="1" applyFill="1" applyBorder="1" applyAlignment="1" applyProtection="1">
      <alignment horizontal="center"/>
      <protection hidden="1"/>
    </xf>
    <xf numFmtId="180" fontId="49" fillId="4" borderId="8" xfId="0" applyFont="1" applyFill="1" applyBorder="1" applyAlignment="1" applyProtection="1">
      <alignment horizontal="left"/>
      <protection hidden="1"/>
    </xf>
    <xf numFmtId="180" fontId="49" fillId="4" borderId="0" xfId="0" applyFont="1" applyFill="1" applyBorder="1" applyAlignment="1" applyProtection="1">
      <alignment horizontal="left"/>
      <protection hidden="1"/>
    </xf>
    <xf numFmtId="180" fontId="49" fillId="4" borderId="7" xfId="0" applyFont="1" applyFill="1" applyBorder="1" applyAlignment="1" applyProtection="1">
      <alignment horizontal="left"/>
      <protection hidden="1"/>
    </xf>
    <xf numFmtId="180" fontId="49" fillId="4" borderId="13" xfId="0" applyFont="1" applyFill="1" applyBorder="1" applyAlignment="1" applyProtection="1">
      <alignment horizontal="left"/>
      <protection hidden="1"/>
    </xf>
    <xf numFmtId="180" fontId="49" fillId="4" borderId="1" xfId="0" applyFont="1" applyFill="1" applyBorder="1" applyAlignment="1" applyProtection="1">
      <alignment horizontal="left"/>
      <protection hidden="1"/>
    </xf>
    <xf numFmtId="180" fontId="49" fillId="4" borderId="3" xfId="0" applyFont="1" applyFill="1" applyBorder="1" applyAlignment="1" applyProtection="1">
      <alignment horizontal="left"/>
      <protection hidden="1"/>
    </xf>
    <xf numFmtId="180" fontId="27" fillId="0" borderId="6" xfId="0" applyFont="1" applyFill="1" applyBorder="1" applyAlignment="1" applyProtection="1" quotePrefix="1">
      <alignment horizontal="left" vertical="center" wrapText="1"/>
      <protection hidden="1"/>
    </xf>
    <xf numFmtId="180" fontId="27" fillId="0" borderId="6" xfId="0" applyFont="1" applyFill="1" applyBorder="1" applyAlignment="1" applyProtection="1" quotePrefix="1">
      <alignment horizontal="left" vertical="center"/>
      <protection hidden="1"/>
    </xf>
    <xf numFmtId="180" fontId="6" fillId="2" borderId="13" xfId="0" applyFont="1" applyFill="1" applyBorder="1" applyAlignment="1" applyProtection="1" quotePrefix="1">
      <alignment horizontal="left" vertical="center" wrapText="1"/>
      <protection hidden="1"/>
    </xf>
    <xf numFmtId="180" fontId="27" fillId="2" borderId="1" xfId="0" applyFont="1" applyFill="1" applyBorder="1" applyAlignment="1" applyProtection="1" quotePrefix="1">
      <alignment horizontal="left" vertical="center"/>
      <protection hidden="1"/>
    </xf>
    <xf numFmtId="180" fontId="27" fillId="2" borderId="3" xfId="0" applyFont="1" applyFill="1" applyBorder="1" applyAlignment="1" applyProtection="1" quotePrefix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#'Enter Dim.'!H8" /><Relationship Id="rId5" Type="http://schemas.openxmlformats.org/officeDocument/2006/relationships/hyperlink" Target="#'Enter Dim.'!H8" /><Relationship Id="rId6" Type="http://schemas.openxmlformats.org/officeDocument/2006/relationships/image" Target="../media/image5.wmf" /><Relationship Id="rId7" Type="http://schemas.openxmlformats.org/officeDocument/2006/relationships/hyperlink" Target="#'Order form LS'!H7" /><Relationship Id="rId8" Type="http://schemas.openxmlformats.org/officeDocument/2006/relationships/hyperlink" Target="#'Order form LS'!H7" /><Relationship Id="rId9" Type="http://schemas.openxmlformats.org/officeDocument/2006/relationships/image" Target="../media/image2.png" /><Relationship Id="rId10" Type="http://schemas.openxmlformats.org/officeDocument/2006/relationships/hyperlink" Target="http://www.psi-products.de/" TargetMode="External" /><Relationship Id="rId11" Type="http://schemas.openxmlformats.org/officeDocument/2006/relationships/hyperlink" Target="http://www.psi-products.d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#'Enter Dim.'!H8" /><Relationship Id="rId5" Type="http://schemas.openxmlformats.org/officeDocument/2006/relationships/hyperlink" Target="#'Enter Dim.'!H8" /><Relationship Id="rId6" Type="http://schemas.openxmlformats.org/officeDocument/2006/relationships/image" Target="../media/image5.wmf" /><Relationship Id="rId7" Type="http://schemas.openxmlformats.org/officeDocument/2006/relationships/hyperlink" Target="#'Order form S-LS'!H7" /><Relationship Id="rId8" Type="http://schemas.openxmlformats.org/officeDocument/2006/relationships/hyperlink" Target="#'Order form S-LS'!H7" /><Relationship Id="rId9" Type="http://schemas.openxmlformats.org/officeDocument/2006/relationships/image" Target="../media/image2.png" /><Relationship Id="rId10" Type="http://schemas.openxmlformats.org/officeDocument/2006/relationships/hyperlink" Target="http://www.psi-products.de/" TargetMode="External" /><Relationship Id="rId11" Type="http://schemas.openxmlformats.org/officeDocument/2006/relationships/hyperlink" Target="http://www.psi-products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1038225</xdr:colOff>
      <xdr:row>4</xdr:row>
      <xdr:rowOff>95250</xdr:rowOff>
    </xdr:from>
    <xdr:to>
      <xdr:col>10</xdr:col>
      <xdr:colOff>742950</xdr:colOff>
      <xdr:row>11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9132" t="7453" r="24589" b="9317"/>
        <a:stretch>
          <a:fillRect/>
        </a:stretch>
      </xdr:blipFill>
      <xdr:spPr>
        <a:xfrm>
          <a:off x="9429750" y="1285875"/>
          <a:ext cx="2562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2</xdr:row>
      <xdr:rowOff>57150</xdr:rowOff>
    </xdr:from>
    <xdr:to>
      <xdr:col>12</xdr:col>
      <xdr:colOff>1228725</xdr:colOff>
      <xdr:row>4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82775" y="714375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1009650</xdr:colOff>
      <xdr:row>49</xdr:row>
      <xdr:rowOff>85725</xdr:rowOff>
    </xdr:from>
    <xdr:to>
      <xdr:col>9</xdr:col>
      <xdr:colOff>600075</xdr:colOff>
      <xdr:row>51</xdr:row>
      <xdr:rowOff>114300</xdr:rowOff>
    </xdr:to>
    <xdr:pic>
      <xdr:nvPicPr>
        <xdr:cNvPr id="3" name="Picture 19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10058400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48</xdr:row>
      <xdr:rowOff>190500</xdr:rowOff>
    </xdr:from>
    <xdr:to>
      <xdr:col>11</xdr:col>
      <xdr:colOff>1438275</xdr:colOff>
      <xdr:row>53</xdr:row>
      <xdr:rowOff>152400</xdr:rowOff>
    </xdr:to>
    <xdr:pic>
      <xdr:nvPicPr>
        <xdr:cNvPr id="4" name="Picture 20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25425" y="99345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400050</xdr:colOff>
      <xdr:row>1</xdr:row>
      <xdr:rowOff>9525</xdr:rowOff>
    </xdr:from>
    <xdr:to>
      <xdr:col>12</xdr:col>
      <xdr:colOff>1162050</xdr:colOff>
      <xdr:row>2</xdr:row>
      <xdr:rowOff>19050</xdr:rowOff>
    </xdr:to>
    <xdr:pic>
      <xdr:nvPicPr>
        <xdr:cNvPr id="5" name="Picture 21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25625" y="219075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257175</xdr:colOff>
      <xdr:row>4</xdr:row>
      <xdr:rowOff>152400</xdr:rowOff>
    </xdr:from>
    <xdr:to>
      <xdr:col>10</xdr:col>
      <xdr:colOff>781050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9132" t="7453" r="24589" b="9317"/>
        <a:stretch>
          <a:fillRect/>
        </a:stretch>
      </xdr:blipFill>
      <xdr:spPr>
        <a:xfrm>
          <a:off x="9334500" y="1343025"/>
          <a:ext cx="2028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2</xdr:row>
      <xdr:rowOff>57150</xdr:rowOff>
    </xdr:from>
    <xdr:to>
      <xdr:col>12</xdr:col>
      <xdr:colOff>1228725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49375" y="714375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1171575</xdr:colOff>
      <xdr:row>35</xdr:row>
      <xdr:rowOff>104775</xdr:rowOff>
    </xdr:from>
    <xdr:to>
      <xdr:col>9</xdr:col>
      <xdr:colOff>571500</xdr:colOff>
      <xdr:row>37</xdr:row>
      <xdr:rowOff>19050</xdr:rowOff>
    </xdr:to>
    <xdr:pic>
      <xdr:nvPicPr>
        <xdr:cNvPr id="3" name="Picture 5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43950" y="9220200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33</xdr:row>
      <xdr:rowOff>190500</xdr:rowOff>
    </xdr:from>
    <xdr:to>
      <xdr:col>11</xdr:col>
      <xdr:colOff>1276350</xdr:colOff>
      <xdr:row>38</xdr:row>
      <xdr:rowOff>85725</xdr:rowOff>
    </xdr:to>
    <xdr:pic>
      <xdr:nvPicPr>
        <xdr:cNvPr id="4" name="Picture 6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20600" y="907732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533400</xdr:colOff>
      <xdr:row>1</xdr:row>
      <xdr:rowOff>28575</xdr:rowOff>
    </xdr:from>
    <xdr:to>
      <xdr:col>12</xdr:col>
      <xdr:colOff>1276350</xdr:colOff>
      <xdr:row>2</xdr:row>
      <xdr:rowOff>28575</xdr:rowOff>
    </xdr:to>
    <xdr:pic>
      <xdr:nvPicPr>
        <xdr:cNvPr id="5" name="Picture 7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25575" y="2381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B2:J20"/>
  <sheetViews>
    <sheetView tabSelected="1" workbookViewId="0" topLeftCell="A1">
      <selection activeCell="H8" sqref="H8"/>
    </sheetView>
  </sheetViews>
  <sheetFormatPr defaultColWidth="8.88671875" defaultRowHeight="15"/>
  <cols>
    <col min="1" max="1" width="1.33203125" style="92" customWidth="1"/>
    <col min="2" max="7" width="11.10546875" style="92" customWidth="1"/>
    <col min="8" max="8" width="13.5546875" style="92" customWidth="1"/>
    <col min="9" max="10" width="11.10546875" style="92" customWidth="1"/>
    <col min="11" max="16384" width="11.5546875" style="92" customWidth="1"/>
  </cols>
  <sheetData>
    <row r="1" ht="10.5" customHeight="1" thickBot="1"/>
    <row r="2" spans="2:10" ht="15">
      <c r="B2" s="93"/>
      <c r="C2" s="14"/>
      <c r="D2" s="14"/>
      <c r="E2" s="14"/>
      <c r="F2" s="14"/>
      <c r="G2" s="14"/>
      <c r="H2" s="14"/>
      <c r="I2" s="14"/>
      <c r="J2" s="15"/>
    </row>
    <row r="3" spans="2:10" ht="45">
      <c r="B3" s="178" t="s">
        <v>38</v>
      </c>
      <c r="C3" s="176"/>
      <c r="D3" s="176"/>
      <c r="E3" s="176"/>
      <c r="F3" s="176"/>
      <c r="G3" s="176"/>
      <c r="H3" s="176"/>
      <c r="I3" s="176"/>
      <c r="J3" s="177"/>
    </row>
    <row r="4" spans="2:10" ht="45">
      <c r="B4" s="175" t="s">
        <v>39</v>
      </c>
      <c r="C4" s="176"/>
      <c r="D4" s="176"/>
      <c r="E4" s="176"/>
      <c r="F4" s="176"/>
      <c r="G4" s="176"/>
      <c r="H4" s="176"/>
      <c r="I4" s="176"/>
      <c r="J4" s="177"/>
    </row>
    <row r="5" spans="2:10" ht="18" customHeight="1">
      <c r="B5" s="94"/>
      <c r="C5" s="18"/>
      <c r="D5" s="18"/>
      <c r="E5" s="18"/>
      <c r="F5" s="18"/>
      <c r="G5" s="18"/>
      <c r="H5" s="18"/>
      <c r="I5" s="18"/>
      <c r="J5" s="20"/>
    </row>
    <row r="6" spans="2:10" ht="18" customHeight="1">
      <c r="B6" s="94"/>
      <c r="C6" s="18"/>
      <c r="D6" s="18"/>
      <c r="E6" s="18"/>
      <c r="F6" s="18"/>
      <c r="G6" s="18"/>
      <c r="H6" s="5" t="s">
        <v>40</v>
      </c>
      <c r="I6" s="95" t="s">
        <v>35</v>
      </c>
      <c r="J6" s="20"/>
    </row>
    <row r="7" spans="2:10" ht="18" customHeight="1" thickBot="1">
      <c r="B7" s="94"/>
      <c r="C7" s="18"/>
      <c r="D7" s="18"/>
      <c r="E7" s="18"/>
      <c r="F7" s="18"/>
      <c r="G7" s="18"/>
      <c r="H7" s="1"/>
      <c r="I7" s="18"/>
      <c r="J7" s="20"/>
    </row>
    <row r="8" spans="2:10" ht="60" thickBot="1">
      <c r="B8" s="94"/>
      <c r="C8" s="179" t="s">
        <v>41</v>
      </c>
      <c r="D8" s="180"/>
      <c r="E8" s="180"/>
      <c r="F8" s="180"/>
      <c r="G8" s="10" t="s">
        <v>37</v>
      </c>
      <c r="H8" s="8">
        <v>400</v>
      </c>
      <c r="I8" s="3" t="s">
        <v>36</v>
      </c>
      <c r="J8" s="20"/>
    </row>
    <row r="9" spans="2:10" ht="60" thickBot="1">
      <c r="B9" s="94"/>
      <c r="C9" s="181" t="s">
        <v>42</v>
      </c>
      <c r="D9" s="182"/>
      <c r="E9" s="182"/>
      <c r="F9" s="182"/>
      <c r="G9" s="11" t="s">
        <v>37</v>
      </c>
      <c r="H9" s="9">
        <v>355</v>
      </c>
      <c r="I9" s="3" t="s">
        <v>36</v>
      </c>
      <c r="J9" s="20"/>
    </row>
    <row r="10" spans="2:10" ht="18" customHeight="1" thickBot="1">
      <c r="B10" s="96"/>
      <c r="C10" s="2"/>
      <c r="D10" s="7"/>
      <c r="E10" s="2"/>
      <c r="F10" s="2"/>
      <c r="G10" s="2"/>
      <c r="H10" s="2"/>
      <c r="I10" s="3"/>
      <c r="J10" s="97"/>
    </row>
    <row r="11" spans="2:10" ht="36" customHeight="1" thickBot="1">
      <c r="B11" s="96"/>
      <c r="C11" s="172" t="s">
        <v>95</v>
      </c>
      <c r="D11" s="173"/>
      <c r="E11" s="173"/>
      <c r="F11" s="173"/>
      <c r="G11" s="173"/>
      <c r="H11" s="173"/>
      <c r="I11" s="174"/>
      <c r="J11" s="97"/>
    </row>
    <row r="12" spans="2:10" ht="18" customHeight="1" thickBot="1">
      <c r="B12" s="96"/>
      <c r="C12" s="4"/>
      <c r="D12" s="6"/>
      <c r="E12" s="6"/>
      <c r="F12" s="6"/>
      <c r="G12" s="3"/>
      <c r="H12" s="98"/>
      <c r="I12" s="98"/>
      <c r="J12" s="97"/>
    </row>
    <row r="13" spans="2:10" ht="36" customHeight="1">
      <c r="B13" s="96"/>
      <c r="C13" s="167" t="s">
        <v>96</v>
      </c>
      <c r="D13" s="168"/>
      <c r="E13" s="168"/>
      <c r="F13" s="168"/>
      <c r="G13" s="168"/>
      <c r="H13" s="168"/>
      <c r="I13" s="166"/>
      <c r="J13" s="97"/>
    </row>
    <row r="14" spans="2:10" ht="15.75" thickBot="1">
      <c r="B14" s="96"/>
      <c r="C14" s="169"/>
      <c r="D14" s="170"/>
      <c r="E14" s="170"/>
      <c r="F14" s="170"/>
      <c r="G14" s="170"/>
      <c r="H14" s="170"/>
      <c r="I14" s="171"/>
      <c r="J14" s="97"/>
    </row>
    <row r="15" spans="2:10" ht="18" customHeight="1" thickBot="1">
      <c r="B15" s="99"/>
      <c r="C15" s="100"/>
      <c r="D15" s="101"/>
      <c r="E15" s="101"/>
      <c r="F15" s="101"/>
      <c r="G15" s="101"/>
      <c r="H15" s="100"/>
      <c r="I15" s="100"/>
      <c r="J15" s="102"/>
    </row>
    <row r="19" spans="5:7" ht="15">
      <c r="E19" s="114"/>
      <c r="F19" s="113"/>
      <c r="G19" s="112"/>
    </row>
    <row r="20" spans="5:7" ht="15" customHeight="1">
      <c r="E20" s="114"/>
      <c r="F20" s="112"/>
      <c r="G20" s="112"/>
    </row>
    <row r="21" ht="15" customHeight="1"/>
  </sheetData>
  <sheetProtection password="FDAD" sheet="1" objects="1" scenarios="1"/>
  <mergeCells count="6">
    <mergeCell ref="C13:I14"/>
    <mergeCell ref="C11:I11"/>
    <mergeCell ref="B4:J4"/>
    <mergeCell ref="B3:J3"/>
    <mergeCell ref="C8:F8"/>
    <mergeCell ref="C9:F9"/>
  </mergeCells>
  <hyperlinks>
    <hyperlink ref="C11:I11" location="'Original Link-Seal calculation'!H9" display="Result for  Original Link-Seal (high quality), please click here"/>
    <hyperlink ref="C13:I14" location="'Link-Seal calculation S-LS'!H10" display="Result for S-LS Link-Seal and S-LS KTW (small version),"/>
  </hyperlinks>
  <printOptions/>
  <pageMargins left="0.75" right="0.75" top="1" bottom="1" header="0.4921259845" footer="0.4921259845"/>
  <pageSetup horizontalDpi="600" verticalDpi="600" orientation="landscape" paperSize="9" scale="90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 transitionEvaluation="1">
    <pageSetUpPr fitToPage="1"/>
  </sheetPr>
  <dimension ref="A1:FB180"/>
  <sheetViews>
    <sheetView showGridLines="0" zoomScale="68" zoomScaleNormal="68" workbookViewId="0" topLeftCell="A1">
      <selection activeCell="C47" sqref="C47:I47"/>
    </sheetView>
  </sheetViews>
  <sheetFormatPr defaultColWidth="9.77734375" defaultRowHeight="15"/>
  <cols>
    <col min="1" max="1" width="1.66796875" style="12" customWidth="1"/>
    <col min="2" max="2" width="0.10546875" style="12" customWidth="1"/>
    <col min="3" max="3" width="10.10546875" style="13" customWidth="1"/>
    <col min="4" max="4" width="19.3359375" style="13" customWidth="1"/>
    <col min="5" max="5" width="13.21484375" style="13" customWidth="1"/>
    <col min="6" max="6" width="18.3359375" style="13" customWidth="1"/>
    <col min="7" max="7" width="16.4453125" style="13" customWidth="1"/>
    <col min="8" max="8" width="18.6640625" style="13" customWidth="1"/>
    <col min="9" max="9" width="16.5546875" style="13" customWidth="1"/>
    <col min="10" max="10" width="16.77734375" style="13" customWidth="1"/>
    <col min="11" max="11" width="16.10546875" style="13" customWidth="1"/>
    <col min="12" max="12" width="17.4453125" style="13" customWidth="1"/>
    <col min="13" max="13" width="17.88671875" style="13" customWidth="1"/>
    <col min="14" max="14" width="7.21484375" style="13" customWidth="1"/>
    <col min="15" max="15" width="12.77734375" style="13" customWidth="1"/>
    <col min="16" max="16" width="9.77734375" style="13" customWidth="1"/>
    <col min="17" max="17" width="13.10546875" style="13" customWidth="1"/>
    <col min="18" max="18" width="14.99609375" style="13" customWidth="1"/>
    <col min="19" max="16384" width="9.77734375" style="13" customWidth="1"/>
  </cols>
  <sheetData>
    <row r="1" spans="3:26" ht="16.5" customHeight="1" thickBot="1">
      <c r="C1" s="13" t="s">
        <v>69</v>
      </c>
      <c r="H1" s="13" t="s">
        <v>44</v>
      </c>
      <c r="J1" s="13" t="s">
        <v>45</v>
      </c>
      <c r="L1" s="12">
        <v>1</v>
      </c>
      <c r="N1" s="12"/>
      <c r="O1" s="12"/>
      <c r="P1" s="12"/>
      <c r="Q1" s="12"/>
      <c r="R1" s="12"/>
      <c r="S1" s="12"/>
      <c r="T1" s="12"/>
      <c r="U1" s="12" t="s">
        <v>97</v>
      </c>
      <c r="V1" s="12"/>
      <c r="W1" s="12"/>
      <c r="X1" s="12"/>
      <c r="Y1" s="12" t="s">
        <v>98</v>
      </c>
      <c r="Z1" s="12"/>
    </row>
    <row r="2" spans="3:26" ht="35.25" customHeight="1" thickBot="1">
      <c r="C2" s="107" t="s">
        <v>43</v>
      </c>
      <c r="D2" s="14"/>
      <c r="E2" s="14"/>
      <c r="F2" s="14"/>
      <c r="G2" s="14"/>
      <c r="H2" s="14"/>
      <c r="I2" s="14"/>
      <c r="J2" s="14"/>
      <c r="K2" s="14"/>
      <c r="L2" s="14"/>
      <c r="M2" s="15"/>
      <c r="N2" s="16"/>
      <c r="O2" s="16" t="s">
        <v>31</v>
      </c>
      <c r="P2" s="16" t="s">
        <v>32</v>
      </c>
      <c r="Q2" s="16"/>
      <c r="R2" s="16" t="s">
        <v>33</v>
      </c>
      <c r="S2" s="16" t="s">
        <v>34</v>
      </c>
      <c r="T2" s="105"/>
      <c r="U2" s="12" t="s">
        <v>97</v>
      </c>
      <c r="V2" s="12"/>
      <c r="W2" s="12"/>
      <c r="X2" s="12"/>
      <c r="Y2" s="12" t="s">
        <v>102</v>
      </c>
      <c r="Z2" s="12"/>
    </row>
    <row r="3" spans="3:26" ht="21" customHeight="1">
      <c r="C3" s="160">
        <f>IF(AND(C13&lt;4,C14&lt;5,C15&lt;4,C16&lt;5,C18&lt;5,C19&lt;5,C21&lt;6,C23&lt;4,C25&lt;4,C27&lt;6,C29&lt;4,C31&lt;6,C33&lt;5,C35&lt;4,C37&lt;5,C39&lt;6,C41&lt;6,C43&lt;6,C44&lt;5,C45&lt;5,C46&lt;5),"No suitable Original Link Seal. Try a Compakt sealing","")</f>
      </c>
      <c r="D3" s="109"/>
      <c r="E3" s="109"/>
      <c r="F3" s="109"/>
      <c r="G3" s="110"/>
      <c r="H3" s="14"/>
      <c r="I3" s="14"/>
      <c r="J3" s="14"/>
      <c r="K3" s="17"/>
      <c r="L3" s="14"/>
      <c r="M3" s="15"/>
      <c r="N3" s="16">
        <v>200</v>
      </c>
      <c r="O3" s="16">
        <v>30</v>
      </c>
      <c r="P3" s="16">
        <v>12.1</v>
      </c>
      <c r="Q3" s="16"/>
      <c r="R3" s="16"/>
      <c r="S3" s="16"/>
      <c r="T3" s="105"/>
      <c r="U3" s="12" t="s">
        <v>99</v>
      </c>
      <c r="V3" s="12"/>
      <c r="W3" s="12"/>
      <c r="X3" s="12"/>
      <c r="Y3" s="12"/>
      <c r="Z3" s="12"/>
    </row>
    <row r="4" spans="3:26" ht="21" customHeight="1">
      <c r="C4" s="161">
        <f>IF(AND(H9&lt;H10),"Attention Casing ID is smaller as Carrier OD","")</f>
      </c>
      <c r="D4" s="106"/>
      <c r="E4" s="106"/>
      <c r="F4" s="106"/>
      <c r="G4" s="111"/>
      <c r="H4" s="18"/>
      <c r="I4" s="18"/>
      <c r="J4" s="18"/>
      <c r="K4" s="18"/>
      <c r="L4" s="18"/>
      <c r="M4" s="20"/>
      <c r="N4" s="16">
        <v>275</v>
      </c>
      <c r="O4" s="16">
        <v>25.6</v>
      </c>
      <c r="P4" s="16">
        <v>15.4</v>
      </c>
      <c r="Q4" s="16"/>
      <c r="R4" s="16"/>
      <c r="S4" s="16"/>
      <c r="T4" s="105"/>
      <c r="U4" s="12" t="s">
        <v>101</v>
      </c>
      <c r="V4" s="12"/>
      <c r="W4" s="12"/>
      <c r="X4" s="12"/>
      <c r="Y4" s="12" t="s">
        <v>100</v>
      </c>
      <c r="Z4" s="12"/>
    </row>
    <row r="5" spans="3:23" ht="21" customHeight="1">
      <c r="C5" s="161">
        <f>IF(AND(L9&lt;12.49),"Attention, Annular space to small for Original Link-Seal","")</f>
      </c>
      <c r="D5" s="106"/>
      <c r="E5" s="106"/>
      <c r="F5" s="106"/>
      <c r="G5" s="111"/>
      <c r="H5" s="18"/>
      <c r="I5" s="18"/>
      <c r="J5" s="18"/>
      <c r="K5" s="21"/>
      <c r="L5" s="18"/>
      <c r="M5" s="20"/>
      <c r="N5" s="16">
        <v>300</v>
      </c>
      <c r="O5" s="16">
        <v>40.1</v>
      </c>
      <c r="P5" s="16">
        <v>17.4</v>
      </c>
      <c r="Q5" s="16"/>
      <c r="R5" s="16">
        <v>40.5</v>
      </c>
      <c r="S5" s="16">
        <v>17.4</v>
      </c>
      <c r="T5" s="105"/>
      <c r="U5" s="12"/>
      <c r="V5" s="12"/>
      <c r="W5" s="12"/>
    </row>
    <row r="6" spans="3:23" ht="21" customHeight="1">
      <c r="C6" s="162">
        <f>IF(AND(L9&gt;102),"Attention: Annular space too big for LS","")</f>
      </c>
      <c r="D6" s="163"/>
      <c r="E6" s="106"/>
      <c r="F6" s="106"/>
      <c r="G6" s="164"/>
      <c r="H6" s="18"/>
      <c r="I6" s="22"/>
      <c r="J6" s="18"/>
      <c r="K6" s="19" t="s">
        <v>49</v>
      </c>
      <c r="L6" s="18"/>
      <c r="M6" s="20"/>
      <c r="N6" s="16">
        <v>315</v>
      </c>
      <c r="O6" s="16">
        <v>38.4</v>
      </c>
      <c r="P6" s="16">
        <v>20.5</v>
      </c>
      <c r="Q6" s="16"/>
      <c r="R6" s="16">
        <v>37</v>
      </c>
      <c r="S6" s="16">
        <v>20.1</v>
      </c>
      <c r="T6" s="105"/>
      <c r="U6" s="12"/>
      <c r="V6" s="12"/>
      <c r="W6" s="12"/>
    </row>
    <row r="7" spans="3:23" ht="21" customHeight="1">
      <c r="C7" s="189" t="str">
        <f>IF(AND(C13&gt;3,H10&gt;150,L9&lt;15.71,L9&gt;12.49),U1,IF(AND(C14&gt;4,H10&gt;150,L9&lt;18,L9&gt;15.99),U1,IF(AND(C14&gt;4,H10&gt;250.9,L9&lt;20.01,L9&gt;17.99),U3,IF(AND(C16&gt;4,H10&gt;150,H10&lt;251,L9&lt;22.51,L9&gt;17.99),U3,IF(AND(C18&gt;4,H10&gt;300,L9&lt;22.51,L9&gt;17.99),U2,IF(AND(C43&gt;5,L9&lt;102.01,L9&gt;81.59),U4,""))))))</f>
        <v>If possible please choose a bigger opening,</v>
      </c>
      <c r="D7" s="190"/>
      <c r="E7" s="190"/>
      <c r="F7" s="190"/>
      <c r="G7" s="191"/>
      <c r="H7" s="108"/>
      <c r="I7" s="22"/>
      <c r="J7" s="18"/>
      <c r="K7" s="18"/>
      <c r="L7" s="18"/>
      <c r="M7" s="20"/>
      <c r="N7" s="16"/>
      <c r="O7" s="16"/>
      <c r="P7" s="16"/>
      <c r="Q7" s="16"/>
      <c r="R7" s="16"/>
      <c r="S7" s="16"/>
      <c r="T7" s="105"/>
      <c r="U7" s="12"/>
      <c r="V7" s="12"/>
      <c r="W7" s="12"/>
    </row>
    <row r="8" spans="3:23" ht="21" customHeight="1" thickBot="1">
      <c r="C8" s="192" t="str">
        <f>IF(AND(C13&gt;3,H10&gt;150,L9&lt;15.71,L9&gt;12.49),Y1,IF(AND(C14&gt;4,H10&gt;150,L9&lt;18,L9&gt;15.99),Y1,IF(AND(C18&gt;4,H10&gt;300,L9&lt;22.51,L9&gt;17.99),Y2,IF(AND(C43&gt;5,L9&lt;102.01,L9&gt;81.59),Y4,""))))</f>
        <v>to use type LS 325 or a larger segment!</v>
      </c>
      <c r="D8" s="193"/>
      <c r="E8" s="193"/>
      <c r="F8" s="193"/>
      <c r="G8" s="194"/>
      <c r="H8" s="108" t="s">
        <v>46</v>
      </c>
      <c r="I8" s="22"/>
      <c r="J8" s="18"/>
      <c r="K8" s="18"/>
      <c r="L8" s="18"/>
      <c r="M8" s="20"/>
      <c r="N8" s="16"/>
      <c r="O8" s="16"/>
      <c r="P8" s="16"/>
      <c r="Q8" s="16"/>
      <c r="R8" s="16"/>
      <c r="S8" s="16"/>
      <c r="T8" s="105"/>
      <c r="U8" s="12"/>
      <c r="V8" s="12"/>
      <c r="W8" s="12"/>
    </row>
    <row r="9" spans="3:23" ht="21.75" customHeight="1">
      <c r="C9" s="23"/>
      <c r="D9" s="18"/>
      <c r="E9" s="18"/>
      <c r="F9" s="24" t="s">
        <v>47</v>
      </c>
      <c r="G9" s="25"/>
      <c r="H9" s="148">
        <f>'Enter Dim.'!H8</f>
        <v>400</v>
      </c>
      <c r="I9" s="26" t="s">
        <v>0</v>
      </c>
      <c r="J9" s="27"/>
      <c r="K9" s="28" t="s">
        <v>49</v>
      </c>
      <c r="L9" s="150">
        <f>(H9-H10)*0.5</f>
        <v>22.5</v>
      </c>
      <c r="M9" s="29" t="s">
        <v>0</v>
      </c>
      <c r="N9" s="16">
        <v>325</v>
      </c>
      <c r="O9" s="16">
        <v>79.8</v>
      </c>
      <c r="P9" s="16">
        <v>22.2</v>
      </c>
      <c r="Q9" s="16"/>
      <c r="R9" s="16">
        <v>79</v>
      </c>
      <c r="S9" s="16">
        <v>24</v>
      </c>
      <c r="T9" s="105"/>
      <c r="U9" s="12"/>
      <c r="V9" s="12"/>
      <c r="W9" s="12"/>
    </row>
    <row r="10" spans="3:23" ht="21.75" customHeight="1" thickBot="1">
      <c r="C10" s="30"/>
      <c r="D10" s="18"/>
      <c r="E10" s="24"/>
      <c r="F10" s="24" t="s">
        <v>48</v>
      </c>
      <c r="G10" s="25"/>
      <c r="H10" s="149">
        <f>'Enter Dim.'!H9</f>
        <v>355</v>
      </c>
      <c r="I10" s="26" t="s">
        <v>0</v>
      </c>
      <c r="J10" s="31"/>
      <c r="K10" s="32"/>
      <c r="L10" s="33">
        <f>(H9+H10)/2*3.14</f>
        <v>1185.35</v>
      </c>
      <c r="M10" s="34"/>
      <c r="N10" s="16">
        <v>340</v>
      </c>
      <c r="O10" s="16">
        <v>41.4</v>
      </c>
      <c r="P10" s="16">
        <v>25</v>
      </c>
      <c r="Q10" s="16"/>
      <c r="R10" s="16">
        <v>42</v>
      </c>
      <c r="S10" s="16">
        <v>24.5</v>
      </c>
      <c r="T10" s="105"/>
      <c r="U10" s="12"/>
      <c r="V10" s="12"/>
      <c r="W10" s="12"/>
    </row>
    <row r="11" spans="3:23" ht="54" customHeight="1" hidden="1">
      <c r="C11" s="23"/>
      <c r="D11" s="35" t="s">
        <v>15</v>
      </c>
      <c r="E11" s="24"/>
      <c r="F11" s="36"/>
      <c r="G11" s="36"/>
      <c r="H11" s="37">
        <v>2</v>
      </c>
      <c r="I11" s="38">
        <v>2</v>
      </c>
      <c r="J11" s="38">
        <v>2</v>
      </c>
      <c r="K11" s="38">
        <v>2</v>
      </c>
      <c r="L11" s="38">
        <v>2</v>
      </c>
      <c r="M11" s="39">
        <v>2</v>
      </c>
      <c r="N11" s="16">
        <v>360</v>
      </c>
      <c r="O11" s="16">
        <v>55.1</v>
      </c>
      <c r="P11" s="16">
        <v>31.5</v>
      </c>
      <c r="Q11" s="16"/>
      <c r="R11" s="16">
        <v>55.5</v>
      </c>
      <c r="S11" s="16">
        <v>31.5</v>
      </c>
      <c r="T11" s="105"/>
      <c r="U11" s="12"/>
      <c r="V11" s="12"/>
      <c r="W11" s="12"/>
    </row>
    <row r="12" spans="3:23" ht="54" customHeight="1">
      <c r="C12" s="40" t="s">
        <v>53</v>
      </c>
      <c r="D12" s="41"/>
      <c r="E12" s="124" t="s">
        <v>50</v>
      </c>
      <c r="F12" s="122" t="s">
        <v>51</v>
      </c>
      <c r="G12" s="123" t="s">
        <v>52</v>
      </c>
      <c r="H12" s="42" t="s">
        <v>1</v>
      </c>
      <c r="I12" s="42" t="s">
        <v>4</v>
      </c>
      <c r="J12" s="43" t="s">
        <v>85</v>
      </c>
      <c r="K12" s="43" t="s">
        <v>86</v>
      </c>
      <c r="L12" s="43" t="s">
        <v>3</v>
      </c>
      <c r="M12" s="44" t="s">
        <v>87</v>
      </c>
      <c r="N12" s="16">
        <v>400</v>
      </c>
      <c r="O12" s="16">
        <v>93.1</v>
      </c>
      <c r="P12" s="16">
        <v>34.9</v>
      </c>
      <c r="Q12" s="16"/>
      <c r="R12" s="16">
        <v>93</v>
      </c>
      <c r="S12" s="16">
        <v>35.5</v>
      </c>
      <c r="T12" s="105"/>
      <c r="U12" s="12"/>
      <c r="V12" s="12"/>
      <c r="W12" s="12"/>
    </row>
    <row r="13" spans="1:23" ht="22.5" customHeight="1">
      <c r="A13" s="45" t="str">
        <f>IF(AND(L9&lt;15.71,L9&gt;12.49),L10/30," ")</f>
        <v> </v>
      </c>
      <c r="B13" s="45"/>
      <c r="C13" s="127" t="str">
        <f>IF(AND(L9&lt;15.71,L9&gt;12.49,A13&gt;3,H10&gt;21.29,H10&lt;324),L10/30," ")</f>
        <v> </v>
      </c>
      <c r="D13" s="2" t="str">
        <f>IF(AND(L9&lt;15.71,L9&gt;12.49,C13&gt;3),"Elemente LS 200 "," ")</f>
        <v> </v>
      </c>
      <c r="E13" s="128" t="str">
        <f>IF(AND(L9&lt;15.71,L9&gt;12.49,C13&gt;3),(U57*A13)/3.14+P3," ")</f>
        <v> </v>
      </c>
      <c r="F13" s="126" t="str">
        <f>IF(AND($L$9&lt;15.71,$L$9&gt;12.49,C13&gt;3),"12,5 - 15,7"," ")</f>
        <v> </v>
      </c>
      <c r="G13" s="129" t="str">
        <f>IF(AND($L$9&lt;15.71,$L$9&gt;12.49,C13&gt;3),((((L9/P3)/100)-1%)*100)," ")</f>
        <v> </v>
      </c>
      <c r="H13" s="47" t="str">
        <f>IF(AND($H$11=1,C13&gt;3),C13*D57*L1," ")</f>
        <v> </v>
      </c>
      <c r="I13" s="47" t="str">
        <f>IF(AND($I$11=1,C13&gt;3),C13*K57*L1," ")</f>
        <v> </v>
      </c>
      <c r="J13" s="47" t="str">
        <f>IF(AND($J$11=1,C13&gt;3),C13*I57*L1," ")</f>
        <v> </v>
      </c>
      <c r="K13" s="47" t="str">
        <f>IF(AND($K$11=1,C13&gt;3),C13*M57*L1," ")</f>
        <v> </v>
      </c>
      <c r="L13" s="47" t="str">
        <f>IF(AND($L$11=1,C13&gt;3),C13*O57*L1," ")</f>
        <v> </v>
      </c>
      <c r="M13" s="48" t="str">
        <f>IF(AND($M$11=1,C13&gt;3),C13*Q57*L1," ")</f>
        <v> </v>
      </c>
      <c r="N13" s="16">
        <v>410</v>
      </c>
      <c r="O13" s="16">
        <v>67.6</v>
      </c>
      <c r="P13" s="16">
        <v>36</v>
      </c>
      <c r="Q13" s="16"/>
      <c r="R13" s="16">
        <v>68</v>
      </c>
      <c r="S13" s="16">
        <v>36.5</v>
      </c>
      <c r="T13" s="105"/>
      <c r="U13" s="12"/>
      <c r="V13" s="12"/>
      <c r="W13" s="12"/>
    </row>
    <row r="14" spans="1:23" ht="22.5" customHeight="1">
      <c r="A14" s="45" t="str">
        <f>IF(AND(L9&lt;20.01,L9&gt;15.99),L10/40.96," ")</f>
        <v> </v>
      </c>
      <c r="B14" s="45"/>
      <c r="C14" s="127" t="str">
        <f>IF(AND(L9&lt;20.01,L9&gt;15.99,A14&gt;4,H10&gt;41,H10&lt;316),L10/40.96," ")</f>
        <v> </v>
      </c>
      <c r="D14" s="2" t="str">
        <f>IF(AND(L9&lt;20.01,L9&gt;15.99,C14&gt;4),"Elemente LS 265"," ")</f>
        <v> </v>
      </c>
      <c r="E14" s="128" t="str">
        <f>IF(AND(L9&lt;20.01,L9&gt;15.99,C14&gt;4),(U58*A14)/3.14+P27," ")</f>
        <v> </v>
      </c>
      <c r="F14" s="126" t="str">
        <f>IF(AND($L$9&lt;20.01,$L$9&gt;15.99,C14&gt;4),"16,0 - 20,0"," ")</f>
        <v> </v>
      </c>
      <c r="G14" s="129" t="str">
        <f>IF(AND($L$9&lt;20.01,$L$9&gt;15.99,C14&gt;4),((((L9/P27)/100)-1%)*100)," ")</f>
        <v> </v>
      </c>
      <c r="H14" s="47" t="str">
        <f>IF(AND($H$11=1,C14&gt;4),C14*D58*L1," ")</f>
        <v> </v>
      </c>
      <c r="I14" s="47" t="str">
        <f>IF(AND($I$11=1,C14&gt;4),C14*K58*L1," ")</f>
        <v> </v>
      </c>
      <c r="J14" s="47" t="str">
        <f>IF(AND($J$11=1,C14&gt;4),C14*I58*L1," ")</f>
        <v> </v>
      </c>
      <c r="K14" s="47" t="str">
        <f>IF(AND($K$11=1,C14&gt;4),C14*M58*L1," ")</f>
        <v> </v>
      </c>
      <c r="L14" s="47" t="str">
        <f>IF(AND($L$11=1,C14&gt;3),"----"," ")</f>
        <v> </v>
      </c>
      <c r="M14" s="48" t="str">
        <f>IF(AND($M$11=1,C14&gt;3),"----"," ")</f>
        <v> </v>
      </c>
      <c r="N14" s="16"/>
      <c r="O14" s="16"/>
      <c r="P14" s="16"/>
      <c r="Q14" s="16"/>
      <c r="R14" s="16"/>
      <c r="S14" s="16"/>
      <c r="T14" s="105"/>
      <c r="U14" s="105"/>
      <c r="V14" s="12"/>
      <c r="W14" s="12"/>
    </row>
    <row r="15" spans="1:23" ht="22.5" customHeight="1">
      <c r="A15" s="45" t="str">
        <f>IF(AND(L9&lt;20.01,L9&gt;15.99),L10/25.6," ")</f>
        <v> </v>
      </c>
      <c r="B15" s="45"/>
      <c r="C15" s="127" t="str">
        <f>IF(AND(L9&lt;20.01,L9&gt;15.99,A15&gt;3,H10&lt;91),L10/25.6," ")</f>
        <v> </v>
      </c>
      <c r="D15" s="2" t="str">
        <f>IF(AND(L9&lt;20.01,L9&gt;15.99,C15&gt;3),"Elemente LS 275"," ")</f>
        <v> </v>
      </c>
      <c r="E15" s="128" t="str">
        <f>IF(AND(L9&lt;20.01,L9&gt;15.99,C15&gt;3),(U59*A15)/3.14+P4," ")</f>
        <v> </v>
      </c>
      <c r="F15" s="126" t="str">
        <f>IF(AND($L$9&lt;20.01,$L$9&gt;15.99,C15&gt;3),"16,0 - 20,0"," ")</f>
        <v> </v>
      </c>
      <c r="G15" s="129" t="str">
        <f>IF(AND($L$9&lt;20.01,$L$9&gt;15.99,C15&gt;3),(((($L$9/P4)/100)-1%)*100)," ")</f>
        <v> </v>
      </c>
      <c r="H15" s="47" t="str">
        <f>IF(AND($H$11=1,C15&gt;3),C15*D59*L1," ")</f>
        <v> </v>
      </c>
      <c r="I15" s="47" t="str">
        <f>IF(AND($I$11=1,C15&gt;3),C15*K59*L1," ")</f>
        <v> </v>
      </c>
      <c r="J15" s="47" t="str">
        <f>IF(AND($J$11=1,C15&gt;3),C15*I59*L1," ")</f>
        <v> </v>
      </c>
      <c r="K15" s="47" t="str">
        <f>IF(AND($K$11=1,C15&gt;3),C15*M59*L1," ")</f>
        <v> </v>
      </c>
      <c r="L15" s="47" t="str">
        <f>IF(AND($L$11=1,C15&gt;3),C15*O59*L1," ")</f>
        <v> </v>
      </c>
      <c r="M15" s="48" t="str">
        <f>IF(AND($M$11=1,C15&gt;3),C15*Q59*L1," ")</f>
        <v> </v>
      </c>
      <c r="N15" s="16">
        <v>425</v>
      </c>
      <c r="O15" s="16">
        <v>93.1</v>
      </c>
      <c r="P15" s="16">
        <v>26.9</v>
      </c>
      <c r="Q15" s="16"/>
      <c r="R15" s="16">
        <v>93</v>
      </c>
      <c r="S15" s="16">
        <v>28.6</v>
      </c>
      <c r="T15" s="105"/>
      <c r="U15" s="12"/>
      <c r="V15" s="12"/>
      <c r="W15" s="12"/>
    </row>
    <row r="16" spans="1:23" ht="22.5" customHeight="1">
      <c r="A16" s="45">
        <f>IF(AND(L9&lt;22.51,L9&gt;17.99),L10/41," ")</f>
        <v>29</v>
      </c>
      <c r="B16" s="45"/>
      <c r="C16" s="127" t="str">
        <f>IF(AND(L9&lt;22.51,L9&gt;17.99,A16&gt;4,H10&gt;44.49,H10&lt;251),L10/41," ")</f>
        <v> </v>
      </c>
      <c r="D16" s="2" t="str">
        <f>IF(AND(L9&lt;22.51,L9&gt;17.99,C16&gt;4),"Elemente LS 300"," ")</f>
        <v> </v>
      </c>
      <c r="E16" s="128" t="str">
        <f>IF(AND(L9&lt;22.51,L9&gt;17.99,C16&gt;4),(U60*A16)/3.14+P5," ")</f>
        <v> </v>
      </c>
      <c r="F16" s="126" t="str">
        <f>IF(AND($L$9&lt;22.51,$L$9&gt;17.99,C16&gt;4),"18,0 - 22,5"," ")</f>
        <v> </v>
      </c>
      <c r="G16" s="129" t="str">
        <f>IF(AND($L$9&lt;22.51,$L$9&gt;17.99,C16&gt;4),((((L9/P5)/100)-1%)*100)," ")</f>
        <v> </v>
      </c>
      <c r="H16" s="47" t="str">
        <f>IF(AND($H$11=1,C16&gt;3),C16*D60*L1," ")</f>
        <v> </v>
      </c>
      <c r="I16" s="47" t="str">
        <f>IF(AND($I$11=1,C16&gt;3),C16*K60*L1," ")</f>
        <v> </v>
      </c>
      <c r="J16" s="47" t="str">
        <f>IF(AND($J$11=1,C16&gt;3),C16*I60*L1," ")</f>
        <v> </v>
      </c>
      <c r="K16" s="47" t="str">
        <f>IF(AND($K$11=1,C16&gt;3),C16*M60*L1," ")</f>
        <v> </v>
      </c>
      <c r="L16" s="47" t="str">
        <f>IF(AND($L$11=1,C16&gt;3),C16*O60*L1," ")</f>
        <v> </v>
      </c>
      <c r="M16" s="48" t="str">
        <f>IF(AND($M$11=1,C16&gt;3),C16*Q60*L1," ")</f>
        <v> </v>
      </c>
      <c r="N16" s="16">
        <v>475</v>
      </c>
      <c r="O16" s="16">
        <v>68.6</v>
      </c>
      <c r="P16" s="16">
        <v>39.7</v>
      </c>
      <c r="Q16" s="16"/>
      <c r="R16" s="16">
        <v>68</v>
      </c>
      <c r="S16" s="16">
        <v>41.3</v>
      </c>
      <c r="T16" s="105"/>
      <c r="U16" s="12"/>
      <c r="V16" s="12"/>
      <c r="W16" s="12"/>
    </row>
    <row r="17" spans="1:23" ht="22.5" customHeight="1" hidden="1">
      <c r="A17" s="45" t="str">
        <f>IF(AND(L9&lt;21.01,L9&gt;17.49),L10/40.5," ")</f>
        <v> </v>
      </c>
      <c r="B17" s="45"/>
      <c r="C17" s="130" t="str">
        <f>IF(AND(L9&lt;21.01,L9&gt;17.49,A17&gt;4,H10&gt;44.49,H10&lt;406.5),L10/40.5," ")</f>
        <v> </v>
      </c>
      <c r="D17" s="131" t="str">
        <f>IF(AND(L9&lt;21.01,L9&gt;17.49,C17&gt;4),"Elemente S-LS 300"," ")</f>
        <v> </v>
      </c>
      <c r="E17" s="132" t="str">
        <f>IF(AND(L9&lt;21.01,L9&gt;17.49,C17&gt;4),(R5*A17)/3.14+S5," ")</f>
        <v> </v>
      </c>
      <c r="F17" s="133" t="str">
        <f>IF(AND($L$9&lt;21.01,$L$9&gt;17.49,C17&gt;4),(E17*100%)/$H$9-1," ")</f>
        <v> </v>
      </c>
      <c r="G17" s="134" t="str">
        <f>IF(AND($L$9&lt;21.01,$L$9&gt;17.49,C17&gt;4),((S5/L9)-1)," ")</f>
        <v> </v>
      </c>
      <c r="H17" s="49" t="str">
        <f>IF(AND($H$11=1,C17&gt;3),C17*D77*L1," ")</f>
        <v> </v>
      </c>
      <c r="I17" s="49" t="str">
        <f>IF(AND($I$11=1,C17&gt;3),"----"," ")</f>
        <v> </v>
      </c>
      <c r="J17" s="49" t="str">
        <f>IF(AND($J$11=1,C17&gt;3),C17*I77*L1," ")</f>
        <v> </v>
      </c>
      <c r="K17" s="49" t="str">
        <f>IF(AND($K$11=1,C17&gt;3),"----"," ")</f>
        <v> </v>
      </c>
      <c r="L17" s="49" t="str">
        <f>IF(AND($L$11=1,C17&gt;3),"----"," ")</f>
        <v> </v>
      </c>
      <c r="M17" s="50" t="str">
        <f>IF(AND($M$11=1,C17&gt;3),"----"," ")</f>
        <v> </v>
      </c>
      <c r="N17" s="51">
        <v>440</v>
      </c>
      <c r="O17" s="51">
        <v>99</v>
      </c>
      <c r="P17" s="51">
        <v>44</v>
      </c>
      <c r="Q17" s="16"/>
      <c r="R17" s="51">
        <v>99</v>
      </c>
      <c r="S17" s="51">
        <v>44</v>
      </c>
      <c r="T17" s="105"/>
      <c r="U17" s="12"/>
      <c r="V17" s="12"/>
      <c r="W17" s="12"/>
    </row>
    <row r="18" spans="1:23" ht="22.5" customHeight="1">
      <c r="A18" s="45">
        <f>IF(AND(L9&lt;22.51,L9&gt;17.99),L10/57.45," ")</f>
        <v>21</v>
      </c>
      <c r="B18" s="45"/>
      <c r="C18" s="127">
        <f>IF(AND(L9&lt;22.51,L9&gt;17.99,A18&gt;4,H10&gt;70,H10&lt;415),L10/57.45," ")</f>
        <v>21</v>
      </c>
      <c r="D18" s="2" t="str">
        <f>IF(AND(L9&lt;22.51,L9&gt;17.99,C18&gt;4),"Elemente LS 310"," ")</f>
        <v>Elemente LS 310</v>
      </c>
      <c r="E18" s="128">
        <f>IF(AND(L9&lt;22.51,L9&gt;17.99,C18&gt;4),(U61*A18)/3.14+P29," ")</f>
        <v>401.62</v>
      </c>
      <c r="F18" s="126" t="str">
        <f>IF(AND($L$9&lt;22.51,$L$9&gt;17.99,C18&gt;4),"18,0 - 22,5"," ")</f>
        <v>18,0 - 22,5</v>
      </c>
      <c r="G18" s="129">
        <f>IF(AND($L$9&lt;22.51,$L$9&gt;17.99,C18&gt;4),((((L9/P29)/100)-1%)*100)," ")</f>
        <v>0.2931</v>
      </c>
      <c r="H18" s="47" t="str">
        <f>IF(AND($H$11=1,C18&gt;3),C18*D61*L1," ")</f>
        <v> </v>
      </c>
      <c r="I18" s="47" t="str">
        <f>IF(AND($I$11=1,C18&gt;3),C18*K61*L1," ")</f>
        <v> </v>
      </c>
      <c r="J18" s="47" t="str">
        <f>IF(AND($J$11=1,C18&gt;3),C18*I61*L1," ")</f>
        <v> </v>
      </c>
      <c r="K18" s="47" t="str">
        <f>IF(AND($K$11=1,C18&gt;3),C18*M61*L1," ")</f>
        <v> </v>
      </c>
      <c r="L18" s="47" t="str">
        <f>IF(AND($L$11=1,C18&gt;3),"----"," ")</f>
        <v> </v>
      </c>
      <c r="M18" s="48" t="str">
        <f>IF(AND($M$11=1,C18&gt;3),"----"," ")</f>
        <v> </v>
      </c>
      <c r="N18" s="51"/>
      <c r="O18" s="51"/>
      <c r="P18" s="51"/>
      <c r="Q18" s="16"/>
      <c r="R18" s="51"/>
      <c r="S18" s="51"/>
      <c r="T18" s="105"/>
      <c r="U18" s="105"/>
      <c r="V18" s="12"/>
      <c r="W18" s="12"/>
    </row>
    <row r="19" spans="1:23" ht="22.5" customHeight="1">
      <c r="A19" s="45">
        <f>IF(AND(L9&lt;26.01,L9&gt;21.09),L10/38.4," ")</f>
        <v>31</v>
      </c>
      <c r="B19" s="45"/>
      <c r="C19" s="127" t="str">
        <f>IF(AND(L9&lt;26.01,L9&gt;21.09,A19&gt;4,H10&gt;36.99,H10&lt;350.1),L10/38.4," ")</f>
        <v> </v>
      </c>
      <c r="D19" s="2" t="str">
        <f>IF(AND(L9&lt;26.01,L9&gt;21.09,C19&gt;4),"Elemente LS 315"," ")</f>
        <v> </v>
      </c>
      <c r="E19" s="128" t="str">
        <f>IF(AND(L9&lt;26.01,L9&gt;21.09,C19&gt;4),(U62*A19)/3.14+P6," ")</f>
        <v> </v>
      </c>
      <c r="F19" s="126" t="str">
        <f>IF(AND($L$9&lt;26.01,$L$9&gt;21.09,C19&gt;4),"21,1 - 26,0"," ")</f>
        <v> </v>
      </c>
      <c r="G19" s="129" t="str">
        <f>IF(AND($L$9&lt;26.01,$L$9&gt;21.09,C19&gt;4),((((L9/P6)/100)-1%)*100)," ")</f>
        <v> </v>
      </c>
      <c r="H19" s="47" t="str">
        <f>IF(AND($H$11=1,C19&gt;3),C19*D62*L1," ")</f>
        <v> </v>
      </c>
      <c r="I19" s="47" t="str">
        <f>IF(AND($I$11=1,C19&gt;3),C19*K62*L1," ")</f>
        <v> </v>
      </c>
      <c r="J19" s="47" t="str">
        <f>IF(AND($J$11=1,C19&gt;3),C19*I62*L1," ")</f>
        <v> </v>
      </c>
      <c r="K19" s="47" t="str">
        <f>IF(AND($K$11=1,C19&gt;3),C19*M62*L1," ")</f>
        <v> </v>
      </c>
      <c r="L19" s="47" t="str">
        <f>IF(AND($L$11=1,C19&gt;3),C19*O62*L1," ")</f>
        <v> </v>
      </c>
      <c r="M19" s="48" t="str">
        <f>IF(AND($M$11=1,C19&gt;3),C19*Q62*L1," ")</f>
        <v> </v>
      </c>
      <c r="N19" s="16">
        <v>500</v>
      </c>
      <c r="O19" s="16">
        <v>99.8</v>
      </c>
      <c r="P19" s="16">
        <v>57.2</v>
      </c>
      <c r="Q19" s="16"/>
      <c r="R19" s="16">
        <v>99</v>
      </c>
      <c r="S19" s="16">
        <v>61</v>
      </c>
      <c r="T19" s="105"/>
      <c r="U19" s="12"/>
      <c r="V19" s="12"/>
      <c r="W19" s="12"/>
    </row>
    <row r="20" spans="1:23" ht="22.5" customHeight="1" hidden="1">
      <c r="A20" s="45">
        <f>IF(AND(L9&lt;24.01,L9&gt;20.09),L10/37," ")</f>
        <v>32</v>
      </c>
      <c r="B20" s="45"/>
      <c r="C20" s="127" t="str">
        <f>IF(AND(L9&lt;24.01,L9&gt;20.09,A20&gt;4,H10&gt;36.99,H10&lt;315.1),L10/37," ")</f>
        <v> </v>
      </c>
      <c r="D20" s="2" t="str">
        <f>IF(AND(L9&lt;24.01,L9&gt;20.09,C20&gt;4),"Elemente S-LS 315"," ")</f>
        <v> </v>
      </c>
      <c r="E20" s="128" t="str">
        <f>IF(AND(L9&lt;24.01,L9&gt;20.09,C20&gt;4),(R6*A20)/3.14+S6," ")</f>
        <v> </v>
      </c>
      <c r="F20" s="126" t="str">
        <f>IF(AND($L$9&lt;24.01,$L$9&gt;20.09,C20&gt;4),(E20*100%)/$H$9-1," ")</f>
        <v> </v>
      </c>
      <c r="G20" s="129" t="str">
        <f>IF(AND($L$9&lt;26.01,$L$9&gt;21.01,C20&gt;4),((S6/L9)-1)," ")</f>
        <v> </v>
      </c>
      <c r="H20" s="47" t="str">
        <f>IF(AND($H$11=1,C20&gt;3),C20*D78*L1," ")</f>
        <v> </v>
      </c>
      <c r="I20" s="47" t="str">
        <f>IF(AND($I$11=1,C20&gt;3),"----"," ")</f>
        <v> </v>
      </c>
      <c r="J20" s="47" t="str">
        <f>IF(AND($J$11=1,C20&gt;3),C20*I78*L1," ")</f>
        <v> </v>
      </c>
      <c r="K20" s="47" t="str">
        <f>IF(AND($K$11=1,C20&gt;3),"----"," ")</f>
        <v> </v>
      </c>
      <c r="L20" s="47" t="str">
        <f>IF(AND($L$11=1,C20&gt;3),"----"," ")</f>
        <v> </v>
      </c>
      <c r="M20" s="48" t="str">
        <f>IF(AND($M$11=1,C20&gt;3),"----"," ")</f>
        <v> </v>
      </c>
      <c r="N20" s="16"/>
      <c r="O20" s="16"/>
      <c r="P20" s="16"/>
      <c r="Q20" s="16"/>
      <c r="R20" s="16"/>
      <c r="S20" s="16"/>
      <c r="T20" s="105"/>
      <c r="U20" s="12"/>
      <c r="V20" s="12"/>
      <c r="W20" s="12"/>
    </row>
    <row r="21" spans="1:23" ht="22.5" customHeight="1">
      <c r="A21" s="45" t="str">
        <f>IF(AND($L$9&lt;30.01,$L$9&gt;23.19),$L$10/79.8," ")</f>
        <v> </v>
      </c>
      <c r="B21" s="45"/>
      <c r="C21" s="127" t="str">
        <f>IF(AND($L$9&lt;30.01,$L$9&gt;23.19,A21&gt;5,$H$10&gt;88.89,$H$10&lt;711.1),$L$10/79.8," ")</f>
        <v> </v>
      </c>
      <c r="D21" s="2" t="str">
        <f>IF(AND(L9&lt;30.01,L9&gt;23.19,C21&gt;5),"Elemente LS 325"," ")</f>
        <v> </v>
      </c>
      <c r="E21" s="128" t="str">
        <f>IF(AND($L$9&lt;30.01,$L$9&gt;23.19,C21&gt;5),(U63*A21)/3.14+P9," ")</f>
        <v> </v>
      </c>
      <c r="F21" s="126" t="str">
        <f>IF(AND($L$9&lt;30.01,$L$9&gt;23.19,C21&gt;5),"23,2 - 30,0"," ")</f>
        <v> </v>
      </c>
      <c r="G21" s="129" t="str">
        <f>IF(AND($L$9&lt;30.01,$L$9&gt;23.19,C21&gt;5),((((L9/P9)/100)-1%)*100)," ")</f>
        <v> </v>
      </c>
      <c r="H21" s="47" t="str">
        <f>IF(AND($H$11=1,C21&gt;5),C21*D63*L1," ")</f>
        <v> </v>
      </c>
      <c r="I21" s="47" t="str">
        <f>IF(AND($I$11=1,C21&gt;5),C21*K63*L1," ")</f>
        <v> </v>
      </c>
      <c r="J21" s="47" t="str">
        <f>IF(AND($J$11=1,C21&gt;5),C21*I63*L1," ")</f>
        <v> </v>
      </c>
      <c r="K21" s="47" t="str">
        <f>IF(AND($K$11=1,C21&gt;5),C21*M63*L1," ")</f>
        <v> </v>
      </c>
      <c r="L21" s="47" t="str">
        <f>IF(AND($L$11=1,C21&gt;5),C21*O63*L1," ")</f>
        <v> </v>
      </c>
      <c r="M21" s="48" t="str">
        <f>IF(AND($M$11=1,C21&gt;5),C21*Q63*L1," ")</f>
        <v> </v>
      </c>
      <c r="N21" s="16">
        <v>525</v>
      </c>
      <c r="O21" s="16">
        <v>99.8</v>
      </c>
      <c r="P21" s="16">
        <v>52.4</v>
      </c>
      <c r="Q21" s="16"/>
      <c r="R21" s="16">
        <v>99</v>
      </c>
      <c r="S21" s="16">
        <v>53</v>
      </c>
      <c r="T21" s="105"/>
      <c r="U21" s="12"/>
      <c r="V21" s="12"/>
      <c r="W21" s="12"/>
    </row>
    <row r="22" spans="1:23" ht="22.5" customHeight="1" hidden="1">
      <c r="A22" s="45" t="str">
        <f>IF(AND($L$9&lt;29.01,$L$9&gt;23.99),$L$10/79," ")</f>
        <v> </v>
      </c>
      <c r="B22" s="45"/>
      <c r="C22" s="130" t="str">
        <f>IF(AND($L$9&lt;29.01,$L$9&gt;23.99,A22&gt;5,$H$10&gt;88.89,$H$10&lt;711.1),$L$10/79," ")</f>
        <v> </v>
      </c>
      <c r="D22" s="131" t="str">
        <f>IF(AND(L9&lt;29.01,L9&gt;23.99,C22&gt;5),"Elemente S-LS 325"," ")</f>
        <v> </v>
      </c>
      <c r="E22" s="132" t="str">
        <f>IF(AND($L$9&lt;29.01,$L$9&gt;23.99,C22&gt;5),(R9*A22)/3.14+S9," ")</f>
        <v> </v>
      </c>
      <c r="F22" s="133" t="str">
        <f>IF(AND($L$9&lt;29.01,$L$9&gt;23.99,C22&gt;5),(E22*100%)/$H$9-1," ")</f>
        <v> </v>
      </c>
      <c r="G22" s="134" t="str">
        <f>IF(AND($L$9&lt;29.01,$L$9&gt;23.99,C22&gt;5),((S9/L9)-1)," ")</f>
        <v> </v>
      </c>
      <c r="H22" s="49" t="str">
        <f>IF(AND($H$11=1,C22&gt;5),C22*D79*L1," ")</f>
        <v> </v>
      </c>
      <c r="I22" s="49" t="str">
        <f>IF(AND($I$11=1,C22&gt;5),"----"," ")</f>
        <v> </v>
      </c>
      <c r="J22" s="49" t="str">
        <f>IF(AND($J$11=1,C22&gt;5),C22*I79*L1," ")</f>
        <v> </v>
      </c>
      <c r="K22" s="49" t="str">
        <f>IF(AND($K$11=1,C22&gt;5),"----"," ")</f>
        <v> </v>
      </c>
      <c r="L22" s="49" t="str">
        <f>IF(AND($L$11=1,C22&gt;5),"----"," ")</f>
        <v> </v>
      </c>
      <c r="M22" s="50" t="str">
        <f>IF(AND($M$11=1,C22&gt;5),"----"," ")</f>
        <v> </v>
      </c>
      <c r="N22" s="16"/>
      <c r="O22" s="16"/>
      <c r="P22" s="16"/>
      <c r="Q22" s="16"/>
      <c r="R22" s="16"/>
      <c r="S22" s="16"/>
      <c r="T22" s="105"/>
      <c r="U22" s="12"/>
      <c r="V22" s="12"/>
      <c r="W22" s="12"/>
    </row>
    <row r="23" spans="1:23" ht="22.5" customHeight="1">
      <c r="A23" s="45" t="str">
        <f>IF(AND($L$9&lt;34.01,$L$9&gt;25.49),$L$10/41.4," ")</f>
        <v> </v>
      </c>
      <c r="B23" s="45"/>
      <c r="C23" s="127" t="str">
        <f>IF(AND($L$9&lt;34.01,$L$9&gt;25.49,A23&gt;3,$H$10&gt;13.99,$H$10&lt;323.91),$L$10/41.4," ")</f>
        <v> </v>
      </c>
      <c r="D23" s="2" t="str">
        <f>IF(AND(L9&lt;34.01,L9&gt;25.49,C23&gt;3),"Elemente LS 340"," ")</f>
        <v> </v>
      </c>
      <c r="E23" s="128" t="str">
        <f>IF(AND($L$9&lt;34.01,$L$9&gt;25.49,C23&gt;3),(U64*A23)/3.14+P10," ")</f>
        <v> </v>
      </c>
      <c r="F23" s="126" t="str">
        <f>IF(AND($L$9&lt;34.01,$L$9&gt;25.49,C23&gt;3),"25,5 - 34,0"," ")</f>
        <v> </v>
      </c>
      <c r="G23" s="129" t="str">
        <f>IF(AND($L$9&lt;34.01,$L$9&gt;25.49,C23&gt;3),((((L9/P10)/100)-1%)*100)," ")</f>
        <v> </v>
      </c>
      <c r="H23" s="47" t="str">
        <f>IF(AND($H$11=1,C23&gt;3),C23*D64*L1," ")</f>
        <v> </v>
      </c>
      <c r="I23" s="47" t="str">
        <f>IF(AND($I$11=1,C23&gt;3),C23*K64*L1," ")</f>
        <v> </v>
      </c>
      <c r="J23" s="47" t="str">
        <f>IF(AND($J$11=1,C23&gt;3),C23*I64*L1," ")</f>
        <v> </v>
      </c>
      <c r="K23" s="47" t="str">
        <f>IF(AND($K$11=1,C23&gt;3),C23*M64*L1," ")</f>
        <v> </v>
      </c>
      <c r="L23" s="47" t="str">
        <f>IF(AND($L$11=1,C23&gt;3),C23*O64*L1," ")</f>
        <v> </v>
      </c>
      <c r="M23" s="48" t="str">
        <f>IF(AND($M$11=1,C23&gt;3),C23*Q64*L1," ")</f>
        <v> </v>
      </c>
      <c r="N23" s="16">
        <v>575</v>
      </c>
      <c r="O23" s="16">
        <v>79.5</v>
      </c>
      <c r="P23" s="16">
        <v>46</v>
      </c>
      <c r="Q23" s="16"/>
      <c r="R23" s="16">
        <v>79</v>
      </c>
      <c r="S23" s="16">
        <v>48</v>
      </c>
      <c r="T23" s="105"/>
      <c r="U23" s="12"/>
      <c r="V23" s="12"/>
      <c r="W23" s="12"/>
    </row>
    <row r="24" spans="1:23" ht="22.5" customHeight="1" hidden="1">
      <c r="A24" s="45" t="str">
        <f>IF(AND($L$9&lt;30.01,$L$9&gt;24.49),$L$10/42," ")</f>
        <v> </v>
      </c>
      <c r="B24" s="45"/>
      <c r="C24" s="130" t="str">
        <f>IF(AND($L$9&lt;30.01,$L$9&gt;24.49,A24&gt;3,$H$10&gt;13.99,$H$10&lt;323.91),$L$10/42," ")</f>
        <v> </v>
      </c>
      <c r="D24" s="131" t="str">
        <f>IF(AND(L9&lt;30.01,L9&gt;24.49,C24&gt;3),"Elemente S-LS 340"," ")</f>
        <v> </v>
      </c>
      <c r="E24" s="132" t="str">
        <f>IF(AND($L$9&lt;30.01,$L$9&gt;24.49,C24&gt;3),(R10*A24)/3.14+S10," ")</f>
        <v> </v>
      </c>
      <c r="F24" s="133" t="str">
        <f>IF(AND($L$9&lt;30.01,$L$9&gt;24.49,C24&gt;3),(E24*100%)/$H$9-1," ")</f>
        <v> </v>
      </c>
      <c r="G24" s="134" t="str">
        <f>IF(AND($L$9&lt;30.01,$L$9&gt;24.49,C24&gt;3),((S10/L9)-1)," ")</f>
        <v> </v>
      </c>
      <c r="H24" s="49" t="str">
        <f>IF(AND($H$11=1,C24&gt;3),C24*D80*L1," ")</f>
        <v> </v>
      </c>
      <c r="I24" s="49" t="str">
        <f>IF(AND($I$11=1,C24&gt;3),"----"," ")</f>
        <v> </v>
      </c>
      <c r="J24" s="49" t="str">
        <f>IF(AND($J$11=1,C24&gt;3),C24*I80*L1," ")</f>
        <v> </v>
      </c>
      <c r="K24" s="49" t="str">
        <f>IF(AND($K$11=1,C24&gt;3),"----"," ")</f>
        <v> </v>
      </c>
      <c r="L24" s="49" t="str">
        <f>IF(AND($L$11=1,C24&gt;3),"----"," ")</f>
        <v> </v>
      </c>
      <c r="M24" s="50" t="str">
        <f>IF(AND($M$11=1,C24&gt;3),"----"," ")</f>
        <v> </v>
      </c>
      <c r="N24" s="16"/>
      <c r="O24" s="16"/>
      <c r="P24" s="16"/>
      <c r="Q24" s="16"/>
      <c r="R24" s="16"/>
      <c r="S24" s="16"/>
      <c r="T24" s="105"/>
      <c r="U24" s="12"/>
      <c r="V24" s="12"/>
      <c r="W24" s="12"/>
    </row>
    <row r="25" spans="1:23" ht="23.25" customHeight="1">
      <c r="A25" s="45" t="str">
        <f>IF(AND($L$9&lt;42.01,$L$9&gt;31.99),$L$10/55.1," ")</f>
        <v> </v>
      </c>
      <c r="B25" s="45"/>
      <c r="C25" s="135" t="str">
        <f>IF(AND($L$9&lt;42.01,$L$9&gt;31.99,A25&gt;3,$H$10&gt;15.99,$H$10&lt;406.41),$L$10/55.1," ")</f>
        <v> </v>
      </c>
      <c r="D25" s="2" t="str">
        <f>IF(AND(L9&lt;42.01,L9&gt;31.99,C25&gt;3),"Elemente LS 360"," ")</f>
        <v> </v>
      </c>
      <c r="E25" s="128" t="str">
        <f>IF(AND($L$9&lt;42.01,$L$9&gt;31.99,C25&gt;3),(U65*A25)/3.14+P11," ")</f>
        <v> </v>
      </c>
      <c r="F25" s="126" t="str">
        <f>IF(AND($L$9&lt;42.01,$L$9&gt;31.99,C25&gt;3),"32,0 - 42,0"," ")</f>
        <v> </v>
      </c>
      <c r="G25" s="129" t="str">
        <f>IF(AND($L$9&lt;42.01,$L$9&gt;31.99,C25&gt;3),((((L9/P11)/100)-1%)*100)," ")</f>
        <v> </v>
      </c>
      <c r="H25" s="47" t="str">
        <f>IF(AND($H$11=1,C25&gt;3),C25*D65*L1," ")</f>
        <v> </v>
      </c>
      <c r="I25" s="47" t="str">
        <f>IF(AND($I$11=1,C25&gt;3),C25*K65*L1," ")</f>
        <v> </v>
      </c>
      <c r="J25" s="47" t="str">
        <f>IF(AND($J$11=1,C25&gt;3),C25*I65*L1," ")</f>
        <v> </v>
      </c>
      <c r="K25" s="47" t="str">
        <f>IF(AND($K$11=1,C25&gt;3),C25*M65*L1," ")</f>
        <v> </v>
      </c>
      <c r="L25" s="47" t="str">
        <f>IF(AND($L$11=1,C25&gt;3),C25*O65*L1," ")</f>
        <v> </v>
      </c>
      <c r="M25" s="48" t="str">
        <f>IF(AND($M$11=1,C25&gt;3),C25*Q65*L1," ")</f>
        <v> </v>
      </c>
      <c r="N25" s="16">
        <v>615</v>
      </c>
      <c r="O25" s="16">
        <v>155.5</v>
      </c>
      <c r="P25" s="16">
        <v>78.6</v>
      </c>
      <c r="Q25" s="16"/>
      <c r="R25" s="16">
        <v>106.7</v>
      </c>
      <c r="S25" s="16">
        <v>83</v>
      </c>
      <c r="T25" s="105"/>
      <c r="U25" s="12"/>
      <c r="V25" s="12"/>
      <c r="W25" s="12"/>
    </row>
    <row r="26" spans="1:23" ht="23.25" customHeight="1" hidden="1">
      <c r="A26" s="45" t="str">
        <f>IF(AND($L$9&lt;37.01,$L$9&gt;31.49),$L$10/55.5," ")</f>
        <v> </v>
      </c>
      <c r="B26" s="45"/>
      <c r="C26" s="136" t="str">
        <f>IF(AND($L$9&lt;37.01,$L$9&gt;31.49,A26&gt;3,$H$10&gt;15.99,$H$10&lt;406.41),$L$10/55.5," ")</f>
        <v> </v>
      </c>
      <c r="D26" s="131" t="str">
        <f>IF(AND(L9&lt;37.01,L9&gt;31.49,C26&gt;3),"Elemente S-LS 360"," ")</f>
        <v> </v>
      </c>
      <c r="E26" s="132" t="str">
        <f>IF(AND($L$9&lt;37.01,$L$9&gt;31.49,C26&gt;3),(R11*A26)/3.14+S11," ")</f>
        <v> </v>
      </c>
      <c r="F26" s="133" t="str">
        <f>IF(AND($L$9&lt;37.01,$L$9&gt;31.49,C26&gt;3),(E26*100%)/$H$9-1," ")</f>
        <v> </v>
      </c>
      <c r="G26" s="134" t="str">
        <f>IF(AND($L$9&lt;37.01,$L$9&gt;31.49,C26&gt;3),((S11/L9)-1)," ")</f>
        <v> </v>
      </c>
      <c r="H26" s="49" t="str">
        <f>IF(AND($H$11=1,C26&gt;3),C26*D81*L1," ")</f>
        <v> </v>
      </c>
      <c r="I26" s="49" t="str">
        <f>IF(AND($I$11=1,C26&gt;3),"----"," ")</f>
        <v> </v>
      </c>
      <c r="J26" s="49" t="str">
        <f>IF(AND($J$11=1,C26&gt;3),C26*I81*L1," ")</f>
        <v> </v>
      </c>
      <c r="K26" s="49" t="str">
        <f>IF(AND($K$11=1,C26&gt;3),"----"," ")</f>
        <v> </v>
      </c>
      <c r="L26" s="49" t="str">
        <f>IF(AND($L$11=1,C26&gt;3),"----"," ")</f>
        <v> </v>
      </c>
      <c r="M26" s="50" t="str">
        <f>IF(AND($M$11=1,C26&gt;3),"----"," ")</f>
        <v> </v>
      </c>
      <c r="N26" s="16">
        <v>650</v>
      </c>
      <c r="O26" s="51">
        <v>106.7</v>
      </c>
      <c r="P26" s="51">
        <v>69</v>
      </c>
      <c r="Q26" s="16"/>
      <c r="R26" s="51">
        <v>106.7</v>
      </c>
      <c r="S26" s="51">
        <v>69</v>
      </c>
      <c r="T26" s="105"/>
      <c r="U26" s="12"/>
      <c r="V26" s="12"/>
      <c r="W26" s="12"/>
    </row>
    <row r="27" spans="1:23" ht="23.25" customHeight="1">
      <c r="A27" s="45" t="str">
        <f>IF(AND(L9&lt;46.01,L9&gt;36.29),L10/93.1," ")</f>
        <v> </v>
      </c>
      <c r="B27" s="52" t="str">
        <f>IF(AND($L9&lt;46.01,$L9&gt;36.29,$A27&gt;5),($U66*$A27)/3.14+$P12," ")</f>
        <v> </v>
      </c>
      <c r="C27" s="135" t="str">
        <f>IF(AND(B27&lt;H9+3,L9&lt;46.01,L9&gt;36.29,A27&gt;5,H10&gt;139.69,H10&lt;1220.1),L10/93.1," ")</f>
        <v> </v>
      </c>
      <c r="D27" s="2" t="str">
        <f>IF(AND(B27&lt;H9+3,L9&lt;46.01,L9&gt;36.29,C27&gt;5),"Elemente LS 400"," ")</f>
        <v> </v>
      </c>
      <c r="E27" s="128" t="str">
        <f>IF(AND(B27&lt;H9+3,$L9&lt;46.01,$L9&gt;36.29,$C27&gt;5),($U66*$A27)/3.14+$P12," ")</f>
        <v> </v>
      </c>
      <c r="F27" s="126" t="str">
        <f>IF(AND($L$9&lt;46.01,$L$9&gt;36.29,C27&gt;5),"36,3 - 46,0"," ")</f>
        <v> </v>
      </c>
      <c r="G27" s="129" t="str">
        <f>IF(AND($L$9&lt;46.01,$L$9&gt;36.29,C27&gt;5),((((L9/P12)/100)-1%)*100)," ")</f>
        <v> </v>
      </c>
      <c r="H27" s="47" t="str">
        <f>IF(AND($H$11=1,C27&gt;3),C27*D66*L1," ")</f>
        <v> </v>
      </c>
      <c r="I27" s="47" t="str">
        <f>IF(AND($I$11=1,C27&gt;3),C27*K66*L1," ")</f>
        <v> </v>
      </c>
      <c r="J27" s="47" t="str">
        <f>IF(AND($J$11=1,C27&gt;3),C27*I66*L1," ")</f>
        <v> </v>
      </c>
      <c r="K27" s="47" t="str">
        <f>IF(AND($K$11=1,C27&gt;3),C27*M66*L1," ")</f>
        <v> </v>
      </c>
      <c r="L27" s="47" t="str">
        <f>IF(AND($L$11=1,C27&gt;3),C27*O66*L1," ")</f>
        <v> </v>
      </c>
      <c r="M27" s="48" t="str">
        <f>IF(AND($M$11=1,C27&gt;3),C27*Q66*L1," ")</f>
        <v> </v>
      </c>
      <c r="N27" s="16">
        <v>265</v>
      </c>
      <c r="O27" s="16">
        <v>40.96</v>
      </c>
      <c r="P27" s="16">
        <v>15.4</v>
      </c>
      <c r="Q27" s="16"/>
      <c r="R27" s="16"/>
      <c r="S27" s="16"/>
      <c r="T27" s="105"/>
      <c r="U27" s="12"/>
      <c r="V27" s="12"/>
      <c r="W27" s="12"/>
    </row>
    <row r="28" spans="1:23" ht="22.5" customHeight="1" hidden="1">
      <c r="A28" s="45" t="str">
        <f>IF(AND(L9&lt;42.01,L9&gt;35.49),L10/93," ")</f>
        <v> </v>
      </c>
      <c r="B28" s="52" t="str">
        <f>IF(AND($L9&lt;42.01,$L9&gt;35.49,$A28&gt;5),($R12*$A28)/3.14+$S12," ")</f>
        <v> </v>
      </c>
      <c r="C28" s="136" t="str">
        <f>IF(AND(B28&lt;H9,L9&lt;42.01,L9&gt;35.49,A28&gt;5,H10&gt;139.69,H10&lt;1220.1),L10/93," ")</f>
        <v> </v>
      </c>
      <c r="D28" s="131" t="str">
        <f>IF(AND(B28&lt;H9,L9&lt;42.01,L9&gt;35.49,C28&gt;5),"Elemente S-LS 400"," ")</f>
        <v> </v>
      </c>
      <c r="E28" s="132" t="str">
        <f>IF(AND(B28&lt;H9,$L9&lt;42.01,$L9&gt;35.49,$C28&gt;5),($R12*$A28)/3.14+$S12," ")</f>
        <v> </v>
      </c>
      <c r="F28" s="133" t="str">
        <f>IF(AND($L$9&lt;42.01,$L$9&gt;35.49,C28&gt;5),(B28*100%)/$H$9-1," ")</f>
        <v> </v>
      </c>
      <c r="G28" s="134" t="str">
        <f>IF(AND($L$9&lt;42.01,$L$9&gt;35.49,C28&gt;5),((S12/L9)-1)," ")</f>
        <v> </v>
      </c>
      <c r="H28" s="49" t="str">
        <f>IF(AND($H$11=1,C28&gt;5),C28*D82*L1," ")</f>
        <v> </v>
      </c>
      <c r="I28" s="49" t="str">
        <f>IF(AND($I$11=1,C28&gt;3),"----"," ")</f>
        <v> </v>
      </c>
      <c r="J28" s="49" t="str">
        <f>IF(AND($J$11=1,C28&gt;3),C28*I82*L1," ")</f>
        <v> </v>
      </c>
      <c r="K28" s="49" t="str">
        <f>IF(AND($K$11=1,C28&gt;3),"----"," ")</f>
        <v> </v>
      </c>
      <c r="L28" s="49" t="str">
        <f>IF(AND($L$11=1,C28&gt;3),"----"," ")</f>
        <v> </v>
      </c>
      <c r="M28" s="50" t="str">
        <f>IF(AND($M$11=1,C28&gt;3),"----"," ")</f>
        <v> </v>
      </c>
      <c r="N28" s="16"/>
      <c r="O28" s="16"/>
      <c r="P28" s="16"/>
      <c r="Q28" s="16"/>
      <c r="R28" s="16"/>
      <c r="S28" s="16"/>
      <c r="T28" s="105"/>
      <c r="U28" s="12"/>
      <c r="V28" s="12"/>
      <c r="W28" s="12"/>
    </row>
    <row r="29" spans="1:23" ht="22.5" customHeight="1">
      <c r="A29" s="45" t="str">
        <f>IF(AND($L$9&lt;48.51,$L$9&gt;36.99),$L$10/67.6," ")</f>
        <v> </v>
      </c>
      <c r="B29" s="52" t="str">
        <f>IF(AND($L$9&lt;48.51,$L$9&gt;36.99,$A29&gt;3),($U67*$A29)/3.14+$P13," ")</f>
        <v> </v>
      </c>
      <c r="C29" s="135" t="str">
        <f>IF(AND(B29&lt;H9+3,$L$9&lt;48.51,$L$9&gt;36.99,A29&gt;3,$H$10&gt;44.49,$H$10&lt;323.91),$L$10/67.6," ")</f>
        <v> </v>
      </c>
      <c r="D29" s="2" t="str">
        <f>IF(AND(B29&lt;H9+3,L9&lt;48.51,L9&gt;36.99,C29&gt;3),"Elemente LS 410"," ")</f>
        <v> </v>
      </c>
      <c r="E29" s="128" t="str">
        <f>IF(AND(B29&lt;H9+3,$L$9&lt;48.51,$L$9&gt;36.99,$C29&gt;3),($U67*$A29)/3.14+$P13," ")</f>
        <v> </v>
      </c>
      <c r="F29" s="126" t="str">
        <f>IF(AND($L$9&lt;48.51,$L$9&gt;36.99,C29&gt;3),"37,0 - 48,5"," ")</f>
        <v> </v>
      </c>
      <c r="G29" s="129" t="str">
        <f>IF(AND($L$9&lt;48.51,$L$9&gt;36.99,C29&gt;3),((((L9/P13)/100)-1%)*100)," ")</f>
        <v> </v>
      </c>
      <c r="H29" s="47" t="str">
        <f>IF(AND($H$11=1,C29&gt;3),C29*D67*L1," ")</f>
        <v> </v>
      </c>
      <c r="I29" s="47" t="str">
        <f>IF(AND($I$11=1,C29&gt;3),C29*K67*L1," ")</f>
        <v> </v>
      </c>
      <c r="J29" s="47" t="str">
        <f>IF(AND($J$11=1,C29&gt;3),C29*I67*L1," ")</f>
        <v> </v>
      </c>
      <c r="K29" s="47" t="str">
        <f>IF(AND($K$11=1,C29&gt;3),C29*M67*L1," ")</f>
        <v> </v>
      </c>
      <c r="L29" s="47" t="str">
        <f>IF(AND($L$11=1,C29&gt;3),C29*O67*L1," ")</f>
        <v> </v>
      </c>
      <c r="M29" s="48" t="str">
        <f>IF(AND($M$11=1,C29&gt;3),C29*Q67*L1," ")</f>
        <v> </v>
      </c>
      <c r="N29" s="16">
        <v>310</v>
      </c>
      <c r="O29" s="16">
        <v>57.45</v>
      </c>
      <c r="P29" s="16">
        <v>17.4</v>
      </c>
      <c r="Q29" s="16"/>
      <c r="R29" s="16"/>
      <c r="S29" s="16"/>
      <c r="T29" s="105"/>
      <c r="U29" s="12"/>
      <c r="V29" s="12"/>
      <c r="W29" s="12"/>
    </row>
    <row r="30" spans="1:23" ht="22.5" customHeight="1" hidden="1">
      <c r="A30" s="45" t="str">
        <f>IF(AND($L$9&lt;42.51,$L$9&gt;36.49),$L$10/68," ")</f>
        <v> </v>
      </c>
      <c r="B30" s="52" t="str">
        <f>IF(AND($L$9&lt;42.51,$L$9&gt;36.49,$A30&gt;3),($R13*$A30)/3.14+$S13," ")</f>
        <v> </v>
      </c>
      <c r="C30" s="136" t="str">
        <f>IF(AND(B30&lt;H9,$L$9&lt;42.51,$L$9&gt;36.49,A30&gt;3,$H$10&gt;44.49,$H$10&lt;323.91),$L$10/68," ")</f>
        <v> </v>
      </c>
      <c r="D30" s="131" t="str">
        <f>IF(AND(B30&lt;H9,L9&lt;42.51,L9&gt;36.49,C30&gt;3),"Elemente S-LS 410"," ")</f>
        <v> </v>
      </c>
      <c r="E30" s="132" t="str">
        <f>IF(AND(B30&lt;H9,$L$9&lt;42.51,$L$9&gt;36.49,$C30&gt;3),($R13*$A30)/3.14+$S13," ")</f>
        <v> </v>
      </c>
      <c r="F30" s="133" t="str">
        <f>IF(AND($L$9&lt;42.51,$L$9&gt;36.49,C30&gt;3),(B30*100%)/$H$9-1," ")</f>
        <v> </v>
      </c>
      <c r="G30" s="134" t="str">
        <f>IF(AND($L$9&lt;42.51,$L$9&gt;36.49,C30&gt;3),((S13/L9)-1)," ")</f>
        <v> </v>
      </c>
      <c r="H30" s="49" t="str">
        <f>IF(AND($H$11=1,C30&gt;3),C30*D83*L1," ")</f>
        <v> </v>
      </c>
      <c r="I30" s="49" t="str">
        <f>IF(AND($I$11=1,C30&gt;3),"----"," ")</f>
        <v> </v>
      </c>
      <c r="J30" s="49" t="str">
        <f>IF(AND($J$11=1,C30&gt;3),C30*I83*L1," ")</f>
        <v> </v>
      </c>
      <c r="K30" s="49" t="str">
        <f>IF(AND($K$11=1,C30&gt;3),"----"," ")</f>
        <v> </v>
      </c>
      <c r="L30" s="49" t="str">
        <f>IF(AND($L$11=1,C30&gt;3),"----"," ")</f>
        <v> </v>
      </c>
      <c r="M30" s="50" t="str">
        <f>IF(AND($M$11=1,C30&gt;3),"----"," ")</f>
        <v> </v>
      </c>
      <c r="N30" s="147"/>
      <c r="O30" s="147"/>
      <c r="P30" s="147"/>
      <c r="Q30" s="147"/>
      <c r="R30" s="147"/>
      <c r="S30" s="147"/>
      <c r="T30" s="105"/>
      <c r="U30" s="12"/>
      <c r="V30" s="12"/>
      <c r="W30" s="12"/>
    </row>
    <row r="31" spans="1:23" ht="22.5" customHeight="1">
      <c r="A31" s="45" t="str">
        <f>IF(AND(L9&lt;37.01,L9&gt;28.39),L10/93.1," ")</f>
        <v> </v>
      </c>
      <c r="B31" s="52" t="str">
        <f>IF(AND($L9&lt;37.01,$L9&gt;28.39,$A31&gt;5),($U68*$A31)/3.14+$P15," ")</f>
        <v> </v>
      </c>
      <c r="C31" s="127" t="str">
        <f>IF(AND(B31&lt;H9+3,L9&lt;37.01,L9&gt;28.39,A31&gt;5,H10&gt;133.99,H10&lt;1220.1),L10/93.1," ")</f>
        <v> </v>
      </c>
      <c r="D31" s="2" t="str">
        <f>IF(AND(B31&lt;H9+3,L9&lt;37.01,L9&gt;28.39,C31&gt;5),"Elemente LS 425"," ")</f>
        <v> </v>
      </c>
      <c r="E31" s="128" t="str">
        <f>IF(AND(B31&lt;H9+3,$L9&lt;37.01,$L9&gt;28.39,$C31&gt;5),($U68*$A31)/3.14+$P15," ")</f>
        <v> </v>
      </c>
      <c r="F31" s="126" t="str">
        <f>IF(AND($L$9&lt;37.01,$L$9&gt;28.39,C31&gt;5),"28,4 - 37,0"," ")</f>
        <v> </v>
      </c>
      <c r="G31" s="129" t="str">
        <f>IF(AND($L$9&lt;37.01,$L$9&gt;28.39,C31&gt;5),((((L9/P15)/100)-1%)*100)," ")</f>
        <v> </v>
      </c>
      <c r="H31" s="47" t="str">
        <f>IF(AND($H$11=1,C31&gt;3),C31*D68*L1," ")</f>
        <v> </v>
      </c>
      <c r="I31" s="47" t="str">
        <f>IF(AND($I$11=1,C31&gt;3),C31*K68*L1," ")</f>
        <v> </v>
      </c>
      <c r="J31" s="47" t="str">
        <f>IF(AND($J$11=1,C31&gt;3),C31*I68*L1," ")</f>
        <v> </v>
      </c>
      <c r="K31" s="47" t="str">
        <f>IF(AND($K$11=1,C31&gt;3),C31*M68*L1," ")</f>
        <v> </v>
      </c>
      <c r="L31" s="47" t="str">
        <f>IF(AND($L$11=1,C31&gt;3),C31*O68*L1," ")</f>
        <v> </v>
      </c>
      <c r="M31" s="48" t="str">
        <f>IF(AND($M$11=1,C31&gt;3),C31*Q68*L1," ")</f>
        <v> </v>
      </c>
      <c r="N31" s="147"/>
      <c r="O31" s="147"/>
      <c r="P31" s="147"/>
      <c r="Q31" s="147"/>
      <c r="R31" s="147"/>
      <c r="S31" s="147"/>
      <c r="T31" s="105"/>
      <c r="U31" s="12"/>
      <c r="V31" s="12"/>
      <c r="W31" s="12"/>
    </row>
    <row r="32" spans="1:23" ht="22.5" customHeight="1" hidden="1">
      <c r="A32" s="45" t="str">
        <f>IF(AND(L9&lt;34.11,L9&gt;28.59),L10/93," ")</f>
        <v> </v>
      </c>
      <c r="B32" s="52" t="str">
        <f>IF(AND($L9&lt;34.11,$L9&gt;28.59,$A32&gt;5),($R15*$A32)/3.14+$S15," ")</f>
        <v> </v>
      </c>
      <c r="C32" s="130" t="str">
        <f>IF(AND(B32&lt;H9,L9&lt;34.11,L9&gt;28.59,A32&gt;5,H10&gt;133.99,H10&lt;1220.1),L10/93," ")</f>
        <v> </v>
      </c>
      <c r="D32" s="131" t="str">
        <f>IF(AND(B32&lt;H9,L9&lt;34.11,L9&gt;28.59,C32&gt;5),"Elemente S-LS 425"," ")</f>
        <v> </v>
      </c>
      <c r="E32" s="132" t="str">
        <f>IF(AND(B32&lt;H9,$L9&lt;34.11,$L9&gt;28.59,$C32&gt;5),($R15*$A32)/3.14+$S15," ")</f>
        <v> </v>
      </c>
      <c r="F32" s="133" t="str">
        <f>IF(AND($L$9&lt;34.01,$L$9&gt;28.59,C32&gt;5),(B32*100%)/$H$9-1," ")</f>
        <v> </v>
      </c>
      <c r="G32" s="134" t="str">
        <f>IF(AND($L$9&lt;34.01,$L$9&gt;28.59,C32&gt;5),((S15/L9)-1)," ")</f>
        <v> </v>
      </c>
      <c r="H32" s="49" t="str">
        <f>IF(AND($H$11=1,C32&gt;5),C32*D84*L1," ")</f>
        <v> </v>
      </c>
      <c r="I32" s="49" t="str">
        <f>IF(AND($I$11=1,C32&gt;5),"----"," ")</f>
        <v> </v>
      </c>
      <c r="J32" s="49" t="str">
        <f>IF(AND($J$11=1,C32&gt;5),C32*I84*L1," ")</f>
        <v> </v>
      </c>
      <c r="K32" s="49" t="str">
        <f>IF(AND($K$11=1,C32&gt;5),"----"," ")</f>
        <v> </v>
      </c>
      <c r="L32" s="49" t="str">
        <f>IF(AND($L$11=1,C32&gt;5),"----"," ")</f>
        <v> </v>
      </c>
      <c r="M32" s="50" t="str">
        <f>IF(AND($M$11=1,C32&gt;5),"----"," ")</f>
        <v> </v>
      </c>
      <c r="N32" s="147"/>
      <c r="O32" s="147"/>
      <c r="P32" s="147"/>
      <c r="Q32" s="147"/>
      <c r="R32" s="147"/>
      <c r="S32" s="147"/>
      <c r="T32" s="105"/>
      <c r="U32" s="12"/>
      <c r="V32" s="12"/>
      <c r="W32" s="12"/>
    </row>
    <row r="33" spans="1:23" ht="22.5" customHeight="1">
      <c r="A33" s="45" t="str">
        <f>IF(AND(L9&lt;55.01,L9&gt;43.99),L10/99," ")</f>
        <v> </v>
      </c>
      <c r="B33" s="52" t="str">
        <f>IF(AND($L9&lt;55.01,$L9&gt;43.99,$A33&gt;4),($R17*$A33)/3.14+$S17," ")</f>
        <v> </v>
      </c>
      <c r="C33" s="127" t="str">
        <f>IF(AND(B33&lt;H9+3,L9&lt;55.01,L9&gt;43.99,A33&gt;4,H10&gt;99.99,H10&lt;1220.1),L10/99," ")</f>
        <v> </v>
      </c>
      <c r="D33" s="2" t="str">
        <f>IF(AND(B33&lt;H9+3,L9&lt;55.01,L9&gt;43.99,C33&gt;4),"Elemente LS 440"," ")</f>
        <v> </v>
      </c>
      <c r="E33" s="128" t="str">
        <f>IF(AND(B33&lt;H9+3,$L9&lt;55.01,$L9&gt;43.99,$C33&gt;4),($R17*$A33)/3.14+$S17," ")</f>
        <v> </v>
      </c>
      <c r="F33" s="126" t="str">
        <f>IF(AND($L$9&lt;55.01,$L$9&gt;43.99,C33&gt;4),"44,0 - 55,0"," ")</f>
        <v> </v>
      </c>
      <c r="G33" s="129" t="str">
        <f>IF(AND($L$9&lt;55.01,$L$9&gt;43.99,C33&gt;4),((((L9/S17)/100)-1%)*100)," ")</f>
        <v> </v>
      </c>
      <c r="H33" s="47" t="str">
        <f>IF(AND($H$11=1,C33&gt;4),C33*D69*L1," ")</f>
        <v> </v>
      </c>
      <c r="I33" s="47" t="str">
        <f>IF(AND($I$11=1,C33&gt;4),"---"," ")</f>
        <v> </v>
      </c>
      <c r="J33" s="47" t="str">
        <f>IF(AND($J$11=1,C33&gt;4),C33*I69*L1," ")</f>
        <v> </v>
      </c>
      <c r="K33" s="47" t="str">
        <f>IF(AND($K$11=1,C33&gt;4),"----"," ")</f>
        <v> </v>
      </c>
      <c r="L33" s="47" t="str">
        <f>IF(AND($L$11=1,C33&gt;4),C33*O69*L1," ")</f>
        <v> </v>
      </c>
      <c r="M33" s="48" t="str">
        <f>IF(AND($M$11=1,C33&gt;4),C33*Q69*L1," ")</f>
        <v> </v>
      </c>
      <c r="N33" s="16"/>
      <c r="O33" s="16"/>
      <c r="P33" s="16"/>
      <c r="Q33" s="16"/>
      <c r="R33" s="16"/>
      <c r="S33" s="16"/>
      <c r="T33" s="12"/>
      <c r="U33" s="12"/>
      <c r="V33" s="12"/>
      <c r="W33" s="12"/>
    </row>
    <row r="34" spans="1:23" ht="22.5" customHeight="1" hidden="1">
      <c r="A34" s="45" t="str">
        <f>IF(AND(L9&lt;50.51,L9&gt;43.99),L10/99," ")</f>
        <v> </v>
      </c>
      <c r="B34" s="52" t="str">
        <f>IF(AND($L9&lt;50.61,$L9&gt;43.99,$A34&gt;4),($R17*$A34)/3.14+$S17," ")</f>
        <v> </v>
      </c>
      <c r="C34" s="130" t="str">
        <f>IF(AND(B34&lt;H9,L9&lt;55.01,L9&gt;43.99,A34&gt;4,H10&gt;99.99,H10&lt;1220.1),L10/99," ")</f>
        <v> </v>
      </c>
      <c r="D34" s="131" t="str">
        <f>IF(AND(B34&lt;H9,L9&lt;50.51,L9&gt;43.99,C34&gt;4),"Elemente S-LS 440"," ")</f>
        <v> </v>
      </c>
      <c r="E34" s="132" t="str">
        <f>IF(AND(B34&lt;H9,$L9&lt;50.51,$L9&gt;43.99,$C34&gt;4),($R17*$A34)/3.14+$S17," ")</f>
        <v> </v>
      </c>
      <c r="F34" s="133" t="str">
        <f>IF(AND($L$9&lt;55.51,$L$9&gt;43.99,C34&gt;4),(B34*100%)/$H$9-1," ")</f>
        <v> </v>
      </c>
      <c r="G34" s="134" t="str">
        <f>IF(AND($L$9&lt;50.51,$L$9&gt;43.99,C34&gt;4),((S17/L9)-1)," ")</f>
        <v> </v>
      </c>
      <c r="H34" s="49" t="str">
        <f>IF(AND($H$11=1,C34&gt;4),C34*D85*L1," ")</f>
        <v> </v>
      </c>
      <c r="I34" s="49" t="str">
        <f>IF(AND($I$11=1,C34&gt;4),"---"," ")</f>
        <v> </v>
      </c>
      <c r="J34" s="49" t="str">
        <f>IF(AND($J$11=1,C34&gt;4),C34*I85*L1," ")</f>
        <v> </v>
      </c>
      <c r="K34" s="49" t="str">
        <f>IF(AND($K$11=1,C34&gt;4),"----"," ")</f>
        <v> </v>
      </c>
      <c r="L34" s="49" t="str">
        <f>IF(AND($L$11=1,C34&gt;4),"----"," ")</f>
        <v> </v>
      </c>
      <c r="M34" s="50" t="str">
        <f>IF(AND($M$11=1,C34&gt;4),"----"," ")</f>
        <v> </v>
      </c>
      <c r="N34" s="147"/>
      <c r="O34" s="147"/>
      <c r="P34" s="147"/>
      <c r="Q34" s="147"/>
      <c r="R34" s="147"/>
      <c r="S34" s="147"/>
      <c r="T34" s="105"/>
      <c r="U34" s="12"/>
      <c r="V34" s="12"/>
      <c r="W34" s="12"/>
    </row>
    <row r="35" spans="1:23" ht="22.5" customHeight="1">
      <c r="A35" s="45" t="str">
        <f>IF(AND(L9&lt;48.51,L9&gt;41.29),L10/68.6," ")</f>
        <v> </v>
      </c>
      <c r="B35" s="52" t="str">
        <f>IF(AND($L9&lt;48.51,$L9&gt;41.29,$A35&gt;3),($U70*$A35)/3.14+$P16," ")</f>
        <v> </v>
      </c>
      <c r="C35" s="127" t="str">
        <f>IF(AND(B35&lt;H9+3,L9&lt;48.51,L9&gt;41.29,A35&gt;3,H10&gt;33.6,H10&lt;1220.1),L10/68.6," ")</f>
        <v> </v>
      </c>
      <c r="D35" s="2" t="str">
        <f>IF(AND(B35&lt;H9+3,L9&lt;48.51,L9&gt;41.29,C35&gt;3),"Elemente LS 475 "," ")</f>
        <v> </v>
      </c>
      <c r="E35" s="128" t="str">
        <f>IF(AND(B35&lt;H9+3,$L9&lt;48.51,$L9&gt;41.29,$C35&gt;3),($U70*$A35)/3.14+$P16," ")</f>
        <v> </v>
      </c>
      <c r="F35" s="126" t="str">
        <f>IF(AND($L$9&lt;48.51,$L$9&gt;41.29,C35&gt;3),"41,3 - 48,5"," ")</f>
        <v> </v>
      </c>
      <c r="G35" s="129" t="str">
        <f>IF(AND($L$9&lt;48.51,$L$9&gt;41.29,C35&gt;3),((((L9/P16)/100)-1%)*100)," ")</f>
        <v> </v>
      </c>
      <c r="H35" s="47" t="str">
        <f>IF(AND($H$11=1,C35&gt;3),C35*D70*L1," ")</f>
        <v> </v>
      </c>
      <c r="I35" s="47" t="str">
        <f>IF(AND($I$11=1,C35&gt;3),C35*K70*L1," ")</f>
        <v> </v>
      </c>
      <c r="J35" s="47" t="str">
        <f>IF(AND($J$11=1,C35&gt;3),C35*I70*L1," ")</f>
        <v> </v>
      </c>
      <c r="K35" s="47" t="str">
        <f>IF(AND($K$11=1,C35&gt;3),C35*M70*L1," ")</f>
        <v> </v>
      </c>
      <c r="L35" s="47" t="str">
        <f>IF(AND($L$11=1,C35&gt;3),C35*O70*L1," ")</f>
        <v> </v>
      </c>
      <c r="M35" s="48" t="str">
        <f>IF(AND($M$11=1,C35&gt;3),C35*Q70*L1," ")</f>
        <v> </v>
      </c>
      <c r="N35" s="147"/>
      <c r="O35" s="147"/>
      <c r="P35" s="147"/>
      <c r="Q35" s="147"/>
      <c r="R35" s="147"/>
      <c r="S35" s="147"/>
      <c r="T35" s="105"/>
      <c r="U35" s="12"/>
      <c r="V35" s="12"/>
      <c r="W35" s="12"/>
    </row>
    <row r="36" spans="1:23" ht="22.5" customHeight="1" hidden="1">
      <c r="A36" s="45" t="str">
        <f>IF(AND(L9&lt;45.51,L9&gt;41.29),L10/68," ")</f>
        <v> </v>
      </c>
      <c r="B36" s="52" t="str">
        <f>IF(AND($L9&lt;45.51,$L9&gt;41.29,$A36&gt;4),($R16*$A36)/3.14+$S16," ")</f>
        <v> </v>
      </c>
      <c r="C36" s="130" t="str">
        <f>IF(AND(B36&lt;H9,L9&lt;45.51,L9&gt;41.29,A36&gt;4,H10&gt;33.6,H10&lt;1220.1),L10/68," ")</f>
        <v> </v>
      </c>
      <c r="D36" s="131" t="str">
        <f>IF(AND(B36&lt;H9,L9&lt;45.51,L9&gt;41.29,C36&gt;4),"Elemente S-LS 475 "," ")</f>
        <v> </v>
      </c>
      <c r="E36" s="132" t="str">
        <f>IF(AND(B36&lt;H9,$L9&lt;45.51,$L9&gt;41.29,$C36&gt;4),($R16*$A36)/3.14+$S16," ")</f>
        <v> </v>
      </c>
      <c r="F36" s="133" t="str">
        <f>IF(AND($L$9&lt;45.51,$L$9&gt;41.29,C36&gt;4),(B36*100%)/$H$9-1," ")</f>
        <v> </v>
      </c>
      <c r="G36" s="134" t="str">
        <f>IF(AND($L$9&lt;45.51,$L$9&gt;41.29,C36&gt;4),((S16/L9)-1)," ")</f>
        <v> </v>
      </c>
      <c r="H36" s="49" t="str">
        <f>IF(AND($H$11=1,C36&gt;4),C36*D86*L1," ")</f>
        <v> </v>
      </c>
      <c r="I36" s="49" t="str">
        <f>IF(AND($I$11=1,C36&gt;4),"----"," ")</f>
        <v> </v>
      </c>
      <c r="J36" s="49" t="str">
        <f>IF(AND($J$11=1,C36&gt;4),C36*I86*L1," ")</f>
        <v> </v>
      </c>
      <c r="K36" s="49" t="str">
        <f>IF(AND($K$11=1,C36&gt;4),"----"," ")</f>
        <v> </v>
      </c>
      <c r="L36" s="49" t="str">
        <f>IF(AND($L$11=1,C36&gt;4),"----"," ")</f>
        <v> </v>
      </c>
      <c r="M36" s="50" t="str">
        <f>IF(AND($M$11=1,C36&gt;4),"----"," ")</f>
        <v> </v>
      </c>
      <c r="N36" s="16"/>
      <c r="O36" s="16"/>
      <c r="P36" s="16"/>
      <c r="Q36" s="16"/>
      <c r="R36" s="16"/>
      <c r="S36" s="16"/>
      <c r="T36" s="12"/>
      <c r="U36" s="12"/>
      <c r="V36" s="12"/>
      <c r="W36" s="12"/>
    </row>
    <row r="37" spans="1:23" ht="22.5" customHeight="1">
      <c r="A37" s="45" t="str">
        <f>IF(AND(L9&lt;71.51,L9&gt;60.19),L10/99.8," ")</f>
        <v> </v>
      </c>
      <c r="B37" s="52" t="str">
        <f>IF(AND($L9&lt;71.51,$L9&gt;60.19,$A37&gt;4),($U71*$A37)/3.14+$P19," ")</f>
        <v> </v>
      </c>
      <c r="C37" s="127" t="str">
        <f>IF(AND(B37&lt;H9+4,L9&lt;71.51,L9&gt;60.19,A37&gt;4,H10&gt;82.4,H10&lt;1220.1),L10/99.8," ")</f>
        <v> </v>
      </c>
      <c r="D37" s="2" t="str">
        <f>IF(AND(B37&lt;H9+4,L9&lt;71.51,L9&gt;60.19,C37&gt;4),"Elemente LS 500"," ")</f>
        <v> </v>
      </c>
      <c r="E37" s="128" t="str">
        <f>IF(AND(B37&lt;H9+4,$L9&lt;71.51,$L9&gt;60.19,$C37&gt;4),($U71*$A37)/3.14+$P19," ")</f>
        <v> </v>
      </c>
      <c r="F37" s="126" t="str">
        <f>IF(AND($L$9&lt;71.51,$L$9&gt;60.19,C37&gt;4),"60,2 - 71,5"," ")</f>
        <v> </v>
      </c>
      <c r="G37" s="129" t="str">
        <f>IF(AND($L$9&lt;71.51,$L$9&gt;60.19,C37&gt;4),((((L9/P19)/100)-1%)*100)," ")</f>
        <v> </v>
      </c>
      <c r="H37" s="47" t="str">
        <f>IF(AND($H$11=1,C37&gt;3),C37*D71*L1," ")</f>
        <v> </v>
      </c>
      <c r="I37" s="47" t="str">
        <f>IF(AND($I$11=1,C37&gt;3),C37*K71*L1," ")</f>
        <v> </v>
      </c>
      <c r="J37" s="47" t="str">
        <f>IF(AND($J$11=1,C37&gt;3),C37*I71*L1," ")</f>
        <v> </v>
      </c>
      <c r="K37" s="47" t="str">
        <f>IF(AND($K$11=1,C37&gt;3),C37*M71*L$1," ")</f>
        <v> </v>
      </c>
      <c r="L37" s="47" t="str">
        <f>IF(AND($L$11=1,C37&gt;3),C37*O71*L1," ")</f>
        <v> </v>
      </c>
      <c r="M37" s="48" t="str">
        <f>IF(AND($M$11=1,C37&gt;3),C37*Q71*L1," ")</f>
        <v> </v>
      </c>
      <c r="N37" s="16"/>
      <c r="O37" s="16"/>
      <c r="P37" s="16"/>
      <c r="Q37" s="16"/>
      <c r="R37" s="16"/>
      <c r="S37" s="16"/>
      <c r="T37" s="12"/>
      <c r="U37" s="12"/>
      <c r="V37" s="12"/>
      <c r="W37" s="12"/>
    </row>
    <row r="38" spans="1:23" ht="22.5" customHeight="1" hidden="1">
      <c r="A38" s="45" t="str">
        <f>IF(AND(L9&lt;67.01,L9&gt;60.99),L10/99," ")</f>
        <v> </v>
      </c>
      <c r="B38" s="52" t="str">
        <f>IF(AND($L9&lt;67.01,$L9&gt;60.99,$A38&gt;4),($R19*$A38)/3.14+$S19," ")</f>
        <v> </v>
      </c>
      <c r="C38" s="130" t="str">
        <f>IF(AND(B38&lt;H9,L9&lt;67.01,L9&gt;60.99,A38&gt;4,H10&gt;82.4,H10&lt;1220.1),L10/99," ")</f>
        <v> </v>
      </c>
      <c r="D38" s="131" t="str">
        <f>IF(AND(B38&lt;H9,L9&lt;67.01,L9&gt;60.99,C38&gt;4),"Elemente S-LS 500"," ")</f>
        <v> </v>
      </c>
      <c r="E38" s="132" t="str">
        <f>IF(AND(B38&lt;H9,$L9&lt;67.01,$L9&gt;60.99,$C38&gt;4),($R19*$A38)/3.14+$S19," ")</f>
        <v> </v>
      </c>
      <c r="F38" s="133" t="str">
        <f>IF(AND($L$9&lt;67.01,$L$9&gt;60.99,C38&gt;4),(B38*100%)/$H$9-1," ")</f>
        <v> </v>
      </c>
      <c r="G38" s="134" t="str">
        <f>IF(AND($L$9&lt;67.01,$L$9&gt;60.99,C38&gt;4),((S19/L9)-1)," ")</f>
        <v> </v>
      </c>
      <c r="H38" s="49" t="str">
        <f>IF(AND($H$11=1,C38&gt;4),C38*D87*L1," ")</f>
        <v> </v>
      </c>
      <c r="I38" s="49" t="str">
        <f>IF(AND($I$11=1,C38&gt;4),"----"," ")</f>
        <v> </v>
      </c>
      <c r="J38" s="49" t="str">
        <f>IF(AND($J$11=1,C38&gt;4),C38*I87*L1," ")</f>
        <v> </v>
      </c>
      <c r="K38" s="49" t="str">
        <f>IF(AND($K$11=1,C38&gt;3),"----"," ")</f>
        <v> </v>
      </c>
      <c r="L38" s="49" t="str">
        <f>IF(AND($L$11=1,C38&gt;3),"----"," ")</f>
        <v> </v>
      </c>
      <c r="M38" s="50" t="str">
        <f>IF(AND($M$11=1,C38&gt;3),"----"," ")</f>
        <v> </v>
      </c>
      <c r="N38" s="16"/>
      <c r="O38" s="16"/>
      <c r="P38" s="16"/>
      <c r="Q38" s="16"/>
      <c r="R38" s="16"/>
      <c r="S38" s="16"/>
      <c r="T38" s="12"/>
      <c r="U38" s="12"/>
      <c r="V38" s="12"/>
      <c r="W38" s="12"/>
    </row>
    <row r="39" spans="1:23" ht="22.5" customHeight="1">
      <c r="A39" s="45" t="str">
        <f>IF(AND(L9&lt;63.51,L9&gt;55.39),L10/99.8," ")</f>
        <v> </v>
      </c>
      <c r="B39" s="52" t="str">
        <f>IF(AND($L9&lt;63.51,$L9&gt;55.39,$A39&gt;5),($U72*$A39)/3.14+$P21," ")</f>
        <v> </v>
      </c>
      <c r="C39" s="127" t="str">
        <f>IF(AND(B39&lt;H9+4,L9&lt;63.51,L9&gt;55.39,A39&gt;5,H10&gt;132.99,H10&lt;1220.1),L10/99.8," ")</f>
        <v> </v>
      </c>
      <c r="D39" s="2" t="str">
        <f>IF(AND(B39&lt;H9+4,L9&lt;63.51,L9&gt;55.39,C39&gt;5),"Elemente LS 525"," ")</f>
        <v> </v>
      </c>
      <c r="E39" s="128" t="str">
        <f>IF(AND(B39&lt;H9+4,$L9&lt;63.51,$L9&gt;55.39,$C39&gt;5),($U72*$A39)/3.14+$P21," ")</f>
        <v> </v>
      </c>
      <c r="F39" s="126" t="str">
        <f>IF(AND($L$9&lt;63.51,$L$9&gt;55.39,C39&gt;5),"55,4 - 63,5"," ")</f>
        <v> </v>
      </c>
      <c r="G39" s="129" t="str">
        <f>IF(AND($L$9&lt;63.51,$L$9&gt;55.39,C39&gt;5),((((L9/P21)/100)-1%)*100)," ")</f>
        <v> </v>
      </c>
      <c r="H39" s="47" t="str">
        <f>IF(AND($H$11=1,C39&gt;3),C39*D72*L1," ")</f>
        <v> </v>
      </c>
      <c r="I39" s="47" t="str">
        <f>IF(AND($I$11=1,C39&gt;3),C39*K72*L1," ")</f>
        <v> </v>
      </c>
      <c r="J39" s="47" t="str">
        <f>IF(AND($J$11=1,C39&gt;3),C39*I72*L1," ")</f>
        <v> </v>
      </c>
      <c r="K39" s="47" t="str">
        <f>IF(AND($K$11=1,C39&gt;3),C39*M72*L$1," ")</f>
        <v> </v>
      </c>
      <c r="L39" s="47" t="str">
        <f>IF(AND($L$11=1,C39&gt;3),C39*O72*L1," ")</f>
        <v> </v>
      </c>
      <c r="M39" s="48" t="str">
        <f>IF(AND($M$11=1,C39&gt;3),C39*Q72*L1," ")</f>
        <v> </v>
      </c>
      <c r="N39" s="16"/>
      <c r="O39" s="16"/>
      <c r="P39" s="16"/>
      <c r="Q39" s="16"/>
      <c r="R39" s="16"/>
      <c r="S39" s="16"/>
      <c r="T39" s="12"/>
      <c r="U39" s="12"/>
      <c r="V39" s="12"/>
      <c r="W39" s="12"/>
    </row>
    <row r="40" spans="1:23" ht="22.5" customHeight="1" hidden="1">
      <c r="A40" s="45" t="str">
        <f>IF(AND(L9&lt;58.01,L9&gt;52.99),L10/99," ")</f>
        <v> </v>
      </c>
      <c r="B40" s="52" t="str">
        <f>IF(AND($L9&lt;58.01,$L9&gt;52.99,$A40&gt;5),($R21*$A40)/3.14+$S21," ")</f>
        <v> </v>
      </c>
      <c r="C40" s="130" t="str">
        <f>IF(AND(B40&lt;H9,L9&lt;58.01,L9&gt;52.99,A40&gt;5,H10&gt;132.99,H10&lt;1220.1),L10/99," ")</f>
        <v> </v>
      </c>
      <c r="D40" s="131" t="str">
        <f>IF(AND(B40&lt;H9,L9&lt;58.01,L9&gt;52.99,C40&gt;5),"Elemente S-LS 525"," ")</f>
        <v> </v>
      </c>
      <c r="E40" s="132" t="str">
        <f>IF(AND(B40&lt;H9,$L9&lt;58.01,$L9&gt;52.99,$C40&gt;5),($R21*$A40)/3.14+$S21," ")</f>
        <v> </v>
      </c>
      <c r="F40" s="133" t="str">
        <f>IF(AND($L$9&lt;58.01,$L$9&gt;52.99,C40&gt;5),(B40*100%)/$H$9-1," ")</f>
        <v> </v>
      </c>
      <c r="G40" s="134" t="str">
        <f>IF(AND($L$9&lt;58.01,$L$9&gt;52.99,C40&gt;5),((S21/L9)-1)," ")</f>
        <v> </v>
      </c>
      <c r="H40" s="49" t="str">
        <f>IF(AND($H$11=1,C40&gt;5),C40*D88*L1," ")</f>
        <v> </v>
      </c>
      <c r="I40" s="49" t="str">
        <f>IF(AND($I$11=1,C40&gt;5),"----"," ")</f>
        <v> </v>
      </c>
      <c r="J40" s="49" t="str">
        <f>IF(AND($J$11=1,C40&gt;5),C40*I88*L1," ")</f>
        <v> </v>
      </c>
      <c r="K40" s="49" t="str">
        <f>IF(AND($K$11=1,C40&gt;5),"----"," ")</f>
        <v> </v>
      </c>
      <c r="L40" s="49" t="str">
        <f>IF(AND($L$11=1,C40&gt;3),"----"," ")</f>
        <v> </v>
      </c>
      <c r="M40" s="50" t="str">
        <f>IF(AND($M$11=1,C40&gt;5),"----"," ")</f>
        <v> </v>
      </c>
      <c r="N40" s="16"/>
      <c r="O40" s="16"/>
      <c r="P40" s="16"/>
      <c r="Q40" s="16"/>
      <c r="R40" s="16"/>
      <c r="S40" s="16"/>
      <c r="T40" s="12"/>
      <c r="U40" s="12"/>
      <c r="V40" s="12"/>
      <c r="W40" s="12"/>
    </row>
    <row r="41" spans="1:23" ht="22.5" customHeight="1">
      <c r="A41" s="45" t="str">
        <f>IF(AND(L9&lt;60.01,L9&gt;47.99),L10/79.5," ")</f>
        <v> </v>
      </c>
      <c r="B41" s="52" t="str">
        <f>IF(AND($L9&lt;60.01,$L9&gt;47.99,$A41&gt;5),($U73*$A41)/3.14+$P23," ")</f>
        <v> </v>
      </c>
      <c r="C41" s="127" t="str">
        <f>IF(AND(B41&lt;H9+4,L9&lt;60.01,L9&gt;47.99,A41&gt;5,H10&gt;89.9,H10&lt;1220.1),L10/79.5," ")</f>
        <v> </v>
      </c>
      <c r="D41" s="2" t="str">
        <f>IF(AND(B41&lt;H9+4,L9&lt;60.01,L9&gt;47.99,C41&gt;5),"Elemente LS 575"," ")</f>
        <v> </v>
      </c>
      <c r="E41" s="128" t="str">
        <f>IF(AND(B41&lt;H9+4,$L9&lt;60.01,$L9&gt;47.99,$C41&gt;5),($U73*$A41)/3.14+$P23," ")</f>
        <v> </v>
      </c>
      <c r="F41" s="126" t="str">
        <f>IF(AND($L$9&lt;60.01,$L$9&gt;47.99,C41&gt;5),"48,0 - 60,0"," ")</f>
        <v> </v>
      </c>
      <c r="G41" s="129" t="str">
        <f>IF(AND($L$9&lt;60.01,$L$9&gt;47.99,C41&gt;5),((((L9/P23)/100)-1%)*100)," ")</f>
        <v> </v>
      </c>
      <c r="H41" s="47" t="str">
        <f>IF(AND($H$11=1,C41&gt;5),C41*D73*L1," ")</f>
        <v> </v>
      </c>
      <c r="I41" s="47" t="str">
        <f>IF(AND($I$11=1,C41&gt;3),C41*K73*L1," ")</f>
        <v> </v>
      </c>
      <c r="J41" s="47" t="str">
        <f>IF(AND($J$11=1,C41&gt;5),C41*I73*L1," ")</f>
        <v> </v>
      </c>
      <c r="K41" s="47" t="str">
        <f>IF(AND($K$11=1,C41&gt;3),C41*M73*L$1," ")</f>
        <v> </v>
      </c>
      <c r="L41" s="47" t="str">
        <f>IF(AND($L$11=1,C41&gt;5),C41*O73*L1," ")</f>
        <v> </v>
      </c>
      <c r="M41" s="48" t="str">
        <f>IF(AND($M$11=1,C41&gt;5),C41*Q73*L1," ")</f>
        <v> </v>
      </c>
      <c r="N41" s="16"/>
      <c r="O41" s="16"/>
      <c r="P41" s="16"/>
      <c r="Q41" s="16"/>
      <c r="R41" s="16"/>
      <c r="S41" s="16"/>
      <c r="T41" s="12"/>
      <c r="U41" s="12"/>
      <c r="V41" s="12"/>
      <c r="W41" s="12"/>
    </row>
    <row r="42" spans="1:23" ht="22.5" customHeight="1" hidden="1">
      <c r="A42" s="45" t="str">
        <f>IF(AND(L9&lt;54.01,L9&gt;47.99),L10/79," ")</f>
        <v> </v>
      </c>
      <c r="B42" s="52" t="str">
        <f>IF(AND($L9&lt;54.01,$L9&gt;47.99,$A42&gt;5),($R23*$A42)/3.14+$S23," ")</f>
        <v> </v>
      </c>
      <c r="C42" s="130" t="str">
        <f>IF(AND(B42&lt;H9,L9&lt;54.01,L9&gt;47.99,A42&gt;5,H10&gt;89.9,H10&lt;1220.1),L10/79," ")</f>
        <v> </v>
      </c>
      <c r="D42" s="131" t="str">
        <f>IF(AND(B42&lt;H9,L9&lt;54.01,L9&gt;47.99,C42&gt;5),"Elemente S-LS 575"," ")</f>
        <v> </v>
      </c>
      <c r="E42" s="132" t="str">
        <f>IF(AND(B42&lt;H9,$L9&lt;54.01,$L9&gt;47.99,$C42&gt;5),($R23*$A42)/3.14+$S23," ")</f>
        <v> </v>
      </c>
      <c r="F42" s="133" t="str">
        <f>IF(AND($L$9&lt;54.01,$L$9&gt;47.99,C42&gt;5),(B42*100%)/$H$9-1," ")</f>
        <v> </v>
      </c>
      <c r="G42" s="134" t="str">
        <f>IF(AND($L$9&lt;54.01,$L$9&gt;47.99,C42&gt;5),((S23/L9)-1)," ")</f>
        <v> </v>
      </c>
      <c r="H42" s="49" t="str">
        <f>IF(AND($H$11=1,C42&gt;5),C42*D89*L1," ")</f>
        <v> </v>
      </c>
      <c r="I42" s="49" t="str">
        <f>IF(AND($I$11=1,C42&gt;5),"----"," ")</f>
        <v> </v>
      </c>
      <c r="J42" s="49" t="str">
        <f>IF(AND($J$11=1,C42&gt;5),C42*I89*L1," ")</f>
        <v> </v>
      </c>
      <c r="K42" s="49" t="str">
        <f>IF(AND($K$11=1,C42&gt;5),"----"," ")</f>
        <v> </v>
      </c>
      <c r="L42" s="49" t="str">
        <f>IF(AND($L$11=1,C42&gt;5),"----"," ")</f>
        <v> </v>
      </c>
      <c r="M42" s="50" t="str">
        <f>IF(AND($M$11=1,C42&gt;5),"----"," ")</f>
        <v> </v>
      </c>
      <c r="N42" s="16"/>
      <c r="O42" s="16"/>
      <c r="P42" s="16"/>
      <c r="Q42" s="16"/>
      <c r="R42" s="16"/>
      <c r="S42" s="16"/>
      <c r="T42" s="12"/>
      <c r="U42" s="12"/>
      <c r="V42" s="12"/>
      <c r="W42" s="12"/>
    </row>
    <row r="43" spans="1:23" ht="22.5" customHeight="1">
      <c r="A43" s="45" t="str">
        <f>IF(AND(L9&lt;102.01,L9&gt;81.59),L10/155.5," ")</f>
        <v> </v>
      </c>
      <c r="B43" s="52" t="str">
        <f>IF(AND($L9&lt;102.01,$L9&gt;81.59,$A43&gt;5),($U74*$A43)/3.14+$P25," ")</f>
        <v> </v>
      </c>
      <c r="C43" s="127" t="str">
        <f>IF(AND(B43&lt;H9+4,L9&lt;102.01,L9&gt;81.59,A43&gt;5,H10&gt;199.99,H10&lt;3000.1),L10/155.5," ")</f>
        <v> </v>
      </c>
      <c r="D43" s="2" t="str">
        <f>IF(AND(B43&lt;H9+4,L9&lt;102.01,L9&gt;81.59,C43&gt;5),"Elemente LS 615"," ")</f>
        <v> </v>
      </c>
      <c r="E43" s="128" t="str">
        <f>IF(AND(B43&lt;H9+4,$L9&lt;102.01,$L9&gt;81.59,$C43&gt;5),($U74*$A43)/3.14+$P25," ")</f>
        <v> </v>
      </c>
      <c r="F43" s="126" t="str">
        <f>IF(AND($L$9&lt;102.01,$L$9&gt;81.59,C43&gt;5),"81,6 - 102,0"," ")</f>
        <v> </v>
      </c>
      <c r="G43" s="129" t="str">
        <f>IF(AND($L$9&lt;102.01,$L$9&gt;81.59,C43&gt;5),((((L9/P25)/100)-1%)*100)," ")</f>
        <v> </v>
      </c>
      <c r="H43" s="47" t="str">
        <f>IF(AND($H$11=1,C43&gt;5),C43*D74*L1," ")</f>
        <v> </v>
      </c>
      <c r="I43" s="47" t="str">
        <f>IF(AND($I$11=1,C43&gt;5),"----"," ")</f>
        <v> </v>
      </c>
      <c r="J43" s="47" t="str">
        <f>IF(AND($J$11=1,C43&gt;5),C43*I74*L1," ")</f>
        <v> </v>
      </c>
      <c r="K43" s="47" t="str">
        <f>IF(AND($K$11=1,C43&gt;5),"----"," ")</f>
        <v> </v>
      </c>
      <c r="L43" s="47" t="str">
        <f>IF(AND($L$11=1,C43&gt;5),C43*O74*L1," ")</f>
        <v> </v>
      </c>
      <c r="M43" s="48" t="str">
        <f>IF(AND($M$11=1,C43&gt;5),C43*Q74*L1," ")</f>
        <v> </v>
      </c>
      <c r="N43" s="16"/>
      <c r="O43" s="16"/>
      <c r="P43" s="16"/>
      <c r="Q43" s="16"/>
      <c r="R43" s="16"/>
      <c r="S43" s="16"/>
      <c r="T43" s="12"/>
      <c r="U43" s="12"/>
      <c r="V43" s="12"/>
      <c r="W43" s="12"/>
    </row>
    <row r="44" spans="1:23" ht="22.5" customHeight="1" hidden="1">
      <c r="A44" s="45" t="str">
        <f>IF(AND(L9&lt;95.01,L9&gt;82.99),L10/104," ")</f>
        <v> </v>
      </c>
      <c r="B44" s="52" t="str">
        <f>IF(AND($L9&lt;95.01,$L9&gt;82.99,$A44&gt;4),($R25*$A44)/3.14+$S25," ")</f>
        <v> </v>
      </c>
      <c r="C44" s="130" t="str">
        <f>IF(AND(B44&lt;H9,L9&lt;95.01,L9&gt;82.99,A44&gt;4,H10&gt;132.99,H10&lt;1220.1),L10/104," ")</f>
        <v> </v>
      </c>
      <c r="D44" s="131" t="str">
        <f>IF(AND(B44&lt;H9,L9&lt;95.01,L9&gt;82.99,C44&gt;4),"Elemente S-LS 625"," ")</f>
        <v> </v>
      </c>
      <c r="E44" s="132" t="str">
        <f>IF(AND(B44&lt;H9,$L9&lt;95.01,$L9&gt;82.99,$C44&gt;4),($R25*$A44)/3.14+$S25," ")</f>
        <v> </v>
      </c>
      <c r="F44" s="133" t="str">
        <f>IF(AND($L$9&lt;95.01,$L$9&gt;82.99,C44&gt;4),(B44*100%)/$H$9-1," ")</f>
        <v> </v>
      </c>
      <c r="G44" s="134" t="str">
        <f>IF(AND($L$9&lt;95.01,$L$9&gt;82.99,C44&gt;4),((S25/L9)-1)," ")</f>
        <v> </v>
      </c>
      <c r="H44" s="49" t="str">
        <f>IF(AND($H$11=1,C44&gt;4),C44*D90*L1," ")</f>
        <v> </v>
      </c>
      <c r="I44" s="49" t="str">
        <f>IF(AND($I$11=1,C44&gt;4),"----"," ")</f>
        <v> </v>
      </c>
      <c r="J44" s="49" t="str">
        <f>IF(AND($J$11=1,C44&gt;4),C44*I90*L1," ")</f>
        <v> </v>
      </c>
      <c r="K44" s="49" t="str">
        <f>IF(AND($K$11=1,C44&gt;4),"----"," ")</f>
        <v> </v>
      </c>
      <c r="L44" s="49" t="str">
        <f>IF(AND($L$11=1,C44&gt;4),"----"," ")</f>
        <v> </v>
      </c>
      <c r="M44" s="50" t="str">
        <f>IF(AND($M$11=1,C44&gt;4),"----"," ")</f>
        <v> </v>
      </c>
      <c r="N44" s="16"/>
      <c r="O44" s="16"/>
      <c r="P44" s="16"/>
      <c r="Q44" s="16"/>
      <c r="R44" s="16"/>
      <c r="S44" s="16"/>
      <c r="T44" s="12"/>
      <c r="U44" s="12"/>
      <c r="V44" s="12"/>
      <c r="W44" s="12"/>
    </row>
    <row r="45" spans="1:23" ht="22.5" customHeight="1" thickBot="1">
      <c r="A45" s="45" t="str">
        <f>IF(AND(L9&lt;84.01,L9&gt;68.99),L10/106.7," ")</f>
        <v> </v>
      </c>
      <c r="B45" s="52" t="str">
        <f>IF(AND($L9&lt;84.01,$L9&gt;68.99,$A45&gt;4),($O26*$A45)/3.14+$P26," ")</f>
        <v> </v>
      </c>
      <c r="C45" s="137" t="str">
        <f>IF(AND(B45&lt;H9+4,L9&lt;84.01,L9&gt;68.99,A45&gt;4,H10&gt;132.99,H10&lt;1220.1),L10/106.7," ")</f>
        <v> </v>
      </c>
      <c r="D45" s="138" t="str">
        <f>IF(AND(B45&lt;H9+4,L9&lt;84.01,L9&gt;68.99,C45&gt;4),"Elemente LS 650"," ")</f>
        <v> </v>
      </c>
      <c r="E45" s="139" t="str">
        <f>IF(AND(B45&lt;H9+4,$L9&lt;84.01,$L9&gt;68.99,$C45&gt;4),($O26*$A45)/3.14+$P26," ")</f>
        <v> </v>
      </c>
      <c r="F45" s="140" t="str">
        <f>IF(AND($L$9&lt;84.01,$L$9&gt;68.99,C45&gt;4),"69,0 - 84,0"," ")</f>
        <v> </v>
      </c>
      <c r="G45" s="141" t="str">
        <f>IF(AND($L$9&lt;84.01,$L$9&gt;68.99,C45&gt;4),((((L9/P26)/100)-1%)*100)," ")</f>
        <v> </v>
      </c>
      <c r="H45" s="53" t="str">
        <f>IF(AND($H$11=1,C45&gt;4),C45*D75*L1," ")</f>
        <v> </v>
      </c>
      <c r="I45" s="53" t="str">
        <f>IF(AND($I$11=1,C45&gt;4),"----"," ")</f>
        <v> </v>
      </c>
      <c r="J45" s="53" t="str">
        <f>IF(AND($J$11=1,C45&gt;4),C45*I75*L1," ")</f>
        <v> </v>
      </c>
      <c r="K45" s="53" t="str">
        <f>IF(AND($K$11=1,C45&gt;5),"----"," ")</f>
        <v> </v>
      </c>
      <c r="L45" s="53" t="str">
        <f>IF(AND($L$11=1,C45&gt;4),C45*O75*L1," ")</f>
        <v> </v>
      </c>
      <c r="M45" s="54" t="str">
        <f>IF(AND($M$11=1,C45&gt;4),C45*Q75*L1," ")</f>
        <v> </v>
      </c>
      <c r="N45" s="16"/>
      <c r="O45" s="16"/>
      <c r="P45" s="16"/>
      <c r="Q45" s="16"/>
      <c r="R45" s="16"/>
      <c r="S45" s="16"/>
      <c r="T45" s="12"/>
      <c r="U45" s="12"/>
      <c r="V45" s="12"/>
      <c r="W45" s="12"/>
    </row>
    <row r="46" spans="1:23" ht="22.5" customHeight="1" hidden="1" thickBot="1">
      <c r="A46" s="45" t="str">
        <f>IF(AND(L9&lt;77.01,L9&gt;68.99),L10/104," ")</f>
        <v> </v>
      </c>
      <c r="B46" s="52" t="str">
        <f>IF(AND($L9&lt;77.01,$L9&gt;68.99,$A46&gt;4),($R26*$A46)/3.14+$S26," ")</f>
        <v> </v>
      </c>
      <c r="C46" s="55" t="str">
        <f>IF(AND(B46&lt;H9,L9&lt;77.01,L9&gt;68.99,A46&gt;4,H10&gt;132.99,H10&lt;1220.1),L10/104," ")</f>
        <v> </v>
      </c>
      <c r="D46" s="56" t="str">
        <f>IF(AND(B46&lt;H9,L9&lt;77.01,L9&gt;68.99,C46&gt;4),"Elemente S-LS 650"," ")</f>
        <v> </v>
      </c>
      <c r="E46" s="57" t="str">
        <f>IF(AND(B46&lt;H9,$L9&lt;77.01,$L9&gt;68.99,$C46&gt;4),($R26*$A46)/3.14+$S26," ")</f>
        <v> </v>
      </c>
      <c r="F46" s="58" t="str">
        <f>IF(AND($L$9&lt;77.01,$L$9&gt;68.99,C46&gt;4),(B46*100%)/$H$9-1," ")</f>
        <v> </v>
      </c>
      <c r="G46" s="59" t="str">
        <f>IF(AND($L$9&lt;77.01,$L$9&gt;68.99,C46&gt;4),((S26/L9)-1)," ")</f>
        <v> </v>
      </c>
      <c r="H46" s="60" t="str">
        <f>IF(AND($H$11=1,C46&gt;4),C46*D91*L1," ")</f>
        <v> </v>
      </c>
      <c r="I46" s="60" t="str">
        <f>IF(AND($I$11=1,C46&gt;4),"----"," ")</f>
        <v> </v>
      </c>
      <c r="J46" s="60" t="str">
        <f>IF(AND($J$11=1,C46&gt;4),C46*I91*L1," ")</f>
        <v> </v>
      </c>
      <c r="K46" s="60" t="str">
        <f>IF(AND($K$11=1,C46&gt;4),"----"," ")</f>
        <v> </v>
      </c>
      <c r="L46" s="60" t="str">
        <f>IF(AND($L$11=1,C46&gt;4),"----"," ")</f>
        <v> </v>
      </c>
      <c r="M46" s="61" t="str">
        <f>IF(AND($M$11=1,C46&gt;4),"----"," ")</f>
        <v> </v>
      </c>
      <c r="N46" s="16"/>
      <c r="O46" s="16"/>
      <c r="P46" s="16"/>
      <c r="Q46" s="16"/>
      <c r="R46" s="16"/>
      <c r="S46" s="16"/>
      <c r="T46" s="12"/>
      <c r="U46" s="12"/>
      <c r="V46" s="12"/>
      <c r="W46" s="12"/>
    </row>
    <row r="47" spans="1:23" ht="42" customHeight="1" thickBot="1">
      <c r="A47" s="45"/>
      <c r="B47" s="45"/>
      <c r="C47" s="197" t="s">
        <v>54</v>
      </c>
      <c r="D47" s="198"/>
      <c r="E47" s="198"/>
      <c r="F47" s="198"/>
      <c r="G47" s="198"/>
      <c r="H47" s="198"/>
      <c r="I47" s="199"/>
      <c r="J47" s="183" t="s">
        <v>56</v>
      </c>
      <c r="K47" s="184"/>
      <c r="L47" s="185"/>
      <c r="M47" s="62" t="s">
        <v>68</v>
      </c>
      <c r="N47" s="16"/>
      <c r="O47" s="16"/>
      <c r="P47" s="16"/>
      <c r="Q47" s="16"/>
      <c r="R47" s="16"/>
      <c r="S47" s="16"/>
      <c r="T47" s="12"/>
      <c r="U47" s="12"/>
      <c r="V47" s="12"/>
      <c r="W47" s="12"/>
    </row>
    <row r="48" spans="1:23" ht="21" customHeight="1" thickBot="1">
      <c r="A48" s="63"/>
      <c r="B48" s="63"/>
      <c r="C48" s="64" t="s">
        <v>55</v>
      </c>
      <c r="D48" s="65"/>
      <c r="E48" s="66"/>
      <c r="F48" s="66"/>
      <c r="G48" s="66"/>
      <c r="H48" s="67"/>
      <c r="I48" s="68"/>
      <c r="J48" s="68"/>
      <c r="K48" s="68"/>
      <c r="L48" s="69"/>
      <c r="M48" s="70"/>
      <c r="N48" s="16"/>
      <c r="O48" s="16"/>
      <c r="P48" s="16"/>
      <c r="Q48" s="12"/>
      <c r="R48" s="12"/>
      <c r="S48" s="12"/>
      <c r="T48" s="12"/>
      <c r="U48" s="12"/>
      <c r="V48" s="12"/>
      <c r="W48" s="12"/>
    </row>
    <row r="49" spans="1:23" ht="18">
      <c r="A49" s="63"/>
      <c r="B49" s="63"/>
      <c r="C49" s="71" t="s">
        <v>57</v>
      </c>
      <c r="D49" s="72" t="s">
        <v>60</v>
      </c>
      <c r="E49" s="73"/>
      <c r="F49" s="73"/>
      <c r="G49" s="73"/>
      <c r="H49" s="74"/>
      <c r="I49" s="188" t="s">
        <v>66</v>
      </c>
      <c r="J49" s="188"/>
      <c r="K49" s="186" t="s">
        <v>67</v>
      </c>
      <c r="L49" s="186"/>
      <c r="M49" s="187"/>
      <c r="N49" s="16"/>
      <c r="O49" s="16"/>
      <c r="P49" s="16"/>
      <c r="Q49" s="12"/>
      <c r="R49" s="12"/>
      <c r="S49" s="12"/>
      <c r="T49" s="12"/>
      <c r="U49" s="12"/>
      <c r="V49" s="12"/>
      <c r="W49" s="12"/>
    </row>
    <row r="50" spans="1:23" ht="15.75">
      <c r="A50" s="63"/>
      <c r="B50" s="63"/>
      <c r="C50" s="71" t="s">
        <v>58</v>
      </c>
      <c r="D50" s="72" t="s">
        <v>61</v>
      </c>
      <c r="E50" s="73"/>
      <c r="F50" s="73"/>
      <c r="G50" s="73"/>
      <c r="H50" s="74"/>
      <c r="I50" s="74"/>
      <c r="J50" s="74"/>
      <c r="K50" s="74"/>
      <c r="L50" s="74"/>
      <c r="M50" s="75"/>
      <c r="N50" s="16"/>
      <c r="O50" s="16"/>
      <c r="P50" s="16"/>
      <c r="Q50" s="12"/>
      <c r="R50" s="12"/>
      <c r="S50" s="12"/>
      <c r="T50" s="12"/>
      <c r="U50" s="12"/>
      <c r="V50" s="12"/>
      <c r="W50" s="12"/>
    </row>
    <row r="51" spans="1:23" ht="15.75">
      <c r="A51" s="63"/>
      <c r="B51" s="63"/>
      <c r="C51" s="71" t="s">
        <v>88</v>
      </c>
      <c r="D51" s="72" t="s">
        <v>62</v>
      </c>
      <c r="E51" s="76"/>
      <c r="F51" s="76"/>
      <c r="G51" s="76"/>
      <c r="H51" s="76"/>
      <c r="I51" s="76"/>
      <c r="J51" s="74"/>
      <c r="K51" s="74"/>
      <c r="L51" s="74"/>
      <c r="M51" s="75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5.75">
      <c r="A52" s="63"/>
      <c r="B52" s="63"/>
      <c r="C52" s="71" t="s">
        <v>89</v>
      </c>
      <c r="D52" s="72" t="s">
        <v>63</v>
      </c>
      <c r="E52" s="76"/>
      <c r="F52" s="76"/>
      <c r="G52" s="76"/>
      <c r="H52" s="76"/>
      <c r="I52" s="76"/>
      <c r="J52" s="74"/>
      <c r="K52" s="74"/>
      <c r="L52" s="74"/>
      <c r="M52" s="75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5.75">
      <c r="A53" s="63"/>
      <c r="B53" s="63"/>
      <c r="C53" s="71" t="s">
        <v>59</v>
      </c>
      <c r="D53" s="72" t="s">
        <v>65</v>
      </c>
      <c r="E53" s="76"/>
      <c r="F53" s="76"/>
      <c r="G53" s="76"/>
      <c r="H53" s="76"/>
      <c r="I53" s="76"/>
      <c r="J53" s="74"/>
      <c r="K53" s="74"/>
      <c r="L53" s="74"/>
      <c r="M53" s="75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6.5" thickBot="1">
      <c r="A54" s="63"/>
      <c r="B54" s="63"/>
      <c r="C54" s="64" t="s">
        <v>90</v>
      </c>
      <c r="D54" s="77" t="s">
        <v>64</v>
      </c>
      <c r="E54" s="78"/>
      <c r="F54" s="78"/>
      <c r="G54" s="78"/>
      <c r="H54" s="78"/>
      <c r="I54" s="78"/>
      <c r="J54" s="68"/>
      <c r="K54" s="68"/>
      <c r="L54" s="68"/>
      <c r="M54" s="70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3:158" ht="42" customHeight="1">
      <c r="C55" s="195" t="s">
        <v>91</v>
      </c>
      <c r="D55" s="196"/>
      <c r="E55" s="196"/>
      <c r="F55" s="196"/>
      <c r="G55" s="196"/>
      <c r="H55" s="196"/>
      <c r="I55" s="196"/>
      <c r="J55" s="79"/>
      <c r="K55" s="79"/>
      <c r="L55" s="79"/>
      <c r="M55" s="80" t="s">
        <v>92</v>
      </c>
      <c r="N55" s="81"/>
      <c r="O55" s="81"/>
      <c r="P55" s="81"/>
      <c r="Q55" s="12"/>
      <c r="R55" s="12"/>
      <c r="S55" s="105"/>
      <c r="T55" s="105"/>
      <c r="U55" s="105"/>
      <c r="V55" s="105"/>
      <c r="W55" s="105"/>
      <c r="X55" s="10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</row>
    <row r="56" spans="3:158" ht="15">
      <c r="C56" s="82"/>
      <c r="D56" s="83" t="s">
        <v>1</v>
      </c>
      <c r="E56" s="83"/>
      <c r="F56" s="83"/>
      <c r="G56" s="83"/>
      <c r="H56" s="83" t="s">
        <v>1</v>
      </c>
      <c r="I56" s="83" t="s">
        <v>2</v>
      </c>
      <c r="J56" s="83" t="s">
        <v>2</v>
      </c>
      <c r="K56" s="83" t="s">
        <v>4</v>
      </c>
      <c r="L56" s="83" t="s">
        <v>4</v>
      </c>
      <c r="M56" s="84" t="s">
        <v>11</v>
      </c>
      <c r="N56" s="85" t="s">
        <v>11</v>
      </c>
      <c r="O56" s="86" t="s">
        <v>3</v>
      </c>
      <c r="P56" s="86" t="s">
        <v>3</v>
      </c>
      <c r="Q56" s="87" t="s">
        <v>5</v>
      </c>
      <c r="R56" s="86" t="s">
        <v>5</v>
      </c>
      <c r="S56" s="16" t="s">
        <v>6</v>
      </c>
      <c r="T56" s="16" t="s">
        <v>7</v>
      </c>
      <c r="U56" s="16" t="s">
        <v>8</v>
      </c>
      <c r="V56" s="16" t="s">
        <v>9</v>
      </c>
      <c r="W56" s="16" t="s">
        <v>10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</row>
    <row r="57" spans="3:158" ht="15">
      <c r="C57" s="51">
        <v>200</v>
      </c>
      <c r="D57" s="88">
        <v>1.7</v>
      </c>
      <c r="E57" s="89"/>
      <c r="F57" s="89"/>
      <c r="G57" s="89"/>
      <c r="H57" s="51">
        <v>22111</v>
      </c>
      <c r="I57" s="90">
        <v>1.9</v>
      </c>
      <c r="J57" s="51">
        <v>22155</v>
      </c>
      <c r="K57" s="90">
        <v>1.85</v>
      </c>
      <c r="L57" s="51">
        <v>22250</v>
      </c>
      <c r="M57" s="90">
        <v>2.1</v>
      </c>
      <c r="N57" s="16">
        <v>22230</v>
      </c>
      <c r="O57" s="91">
        <v>2.05</v>
      </c>
      <c r="P57" s="16">
        <v>22125</v>
      </c>
      <c r="Q57" s="91">
        <v>2.3</v>
      </c>
      <c r="R57" s="16">
        <v>22185</v>
      </c>
      <c r="S57" s="16">
        <v>12.5</v>
      </c>
      <c r="T57" s="16">
        <v>16</v>
      </c>
      <c r="U57" s="16">
        <v>30</v>
      </c>
      <c r="V57" s="16">
        <v>21.3</v>
      </c>
      <c r="W57" s="16">
        <v>4</v>
      </c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</row>
    <row r="58" spans="1:158" ht="15">
      <c r="A58" s="105"/>
      <c r="B58" s="105"/>
      <c r="C58" s="51">
        <v>265</v>
      </c>
      <c r="D58" s="88">
        <v>2.8</v>
      </c>
      <c r="E58" s="89"/>
      <c r="F58" s="89"/>
      <c r="G58" s="89"/>
      <c r="H58" s="51"/>
      <c r="I58" s="90">
        <v>3.95</v>
      </c>
      <c r="J58" s="51"/>
      <c r="K58" s="90">
        <v>3.1</v>
      </c>
      <c r="L58" s="51"/>
      <c r="M58" s="90">
        <v>4.35</v>
      </c>
      <c r="N58" s="16"/>
      <c r="O58" s="91"/>
      <c r="P58" s="16"/>
      <c r="Q58" s="91"/>
      <c r="R58" s="16"/>
      <c r="S58" s="16">
        <v>16</v>
      </c>
      <c r="T58" s="16">
        <v>20</v>
      </c>
      <c r="U58" s="16">
        <v>40.96</v>
      </c>
      <c r="V58" s="16"/>
      <c r="W58" s="16">
        <v>5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</row>
    <row r="59" spans="3:158" ht="15">
      <c r="C59" s="51">
        <v>275</v>
      </c>
      <c r="D59" s="88">
        <v>2.35</v>
      </c>
      <c r="E59" s="89"/>
      <c r="F59" s="89"/>
      <c r="G59" s="89"/>
      <c r="H59" s="51">
        <v>22121</v>
      </c>
      <c r="I59" s="90">
        <v>3.15</v>
      </c>
      <c r="J59" s="51">
        <v>22156</v>
      </c>
      <c r="K59" s="90">
        <v>2.55</v>
      </c>
      <c r="L59" s="51">
        <v>22251</v>
      </c>
      <c r="M59" s="90">
        <v>3.5</v>
      </c>
      <c r="N59" s="16">
        <v>22231</v>
      </c>
      <c r="O59" s="91">
        <v>2.8</v>
      </c>
      <c r="P59" s="16">
        <v>22126</v>
      </c>
      <c r="Q59" s="91">
        <v>3.8</v>
      </c>
      <c r="R59" s="16">
        <v>22186</v>
      </c>
      <c r="S59" s="16">
        <v>16</v>
      </c>
      <c r="T59" s="16">
        <v>20</v>
      </c>
      <c r="U59" s="16">
        <v>25.6</v>
      </c>
      <c r="V59" s="16">
        <v>0</v>
      </c>
      <c r="W59" s="16">
        <v>4</v>
      </c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</row>
    <row r="60" spans="3:158" ht="15">
      <c r="C60" s="51">
        <v>300</v>
      </c>
      <c r="D60" s="88">
        <v>3.4</v>
      </c>
      <c r="E60" s="89"/>
      <c r="F60" s="89"/>
      <c r="G60" s="89"/>
      <c r="H60" s="51">
        <v>22112</v>
      </c>
      <c r="I60" s="90">
        <v>4.2</v>
      </c>
      <c r="J60" s="51">
        <v>22157</v>
      </c>
      <c r="K60" s="90">
        <v>3.7</v>
      </c>
      <c r="L60" s="51">
        <v>22252</v>
      </c>
      <c r="M60" s="90">
        <v>4.65</v>
      </c>
      <c r="N60" s="16">
        <v>22232</v>
      </c>
      <c r="O60" s="91">
        <v>4.05</v>
      </c>
      <c r="P60" s="16">
        <v>22127</v>
      </c>
      <c r="Q60" s="91">
        <v>5.05</v>
      </c>
      <c r="R60" s="16">
        <v>22187</v>
      </c>
      <c r="S60" s="16">
        <v>18</v>
      </c>
      <c r="T60" s="16">
        <v>22.5</v>
      </c>
      <c r="U60" s="16">
        <v>41</v>
      </c>
      <c r="V60" s="16">
        <v>44.5</v>
      </c>
      <c r="W60" s="16">
        <v>5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</row>
    <row r="61" spans="3:158" ht="15">
      <c r="C61" s="51">
        <v>310</v>
      </c>
      <c r="D61" s="88">
        <v>4.05</v>
      </c>
      <c r="E61" s="89"/>
      <c r="F61" s="89"/>
      <c r="G61" s="89"/>
      <c r="H61" s="51"/>
      <c r="I61" s="90">
        <v>5</v>
      </c>
      <c r="J61" s="51"/>
      <c r="K61" s="90">
        <v>4.45</v>
      </c>
      <c r="L61" s="51"/>
      <c r="M61" s="90">
        <v>5.5</v>
      </c>
      <c r="N61" s="16"/>
      <c r="O61" s="91"/>
      <c r="P61" s="16"/>
      <c r="Q61" s="91"/>
      <c r="R61" s="16"/>
      <c r="S61" s="16">
        <v>18</v>
      </c>
      <c r="T61" s="16">
        <v>22.5</v>
      </c>
      <c r="U61" s="16">
        <v>57.45</v>
      </c>
      <c r="V61" s="16"/>
      <c r="W61" s="16">
        <v>5</v>
      </c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</row>
    <row r="62" spans="3:158" ht="15">
      <c r="C62" s="51">
        <v>315</v>
      </c>
      <c r="D62" s="88">
        <v>3.9</v>
      </c>
      <c r="E62" s="89"/>
      <c r="F62" s="89"/>
      <c r="G62" s="89"/>
      <c r="H62" s="51">
        <v>22120</v>
      </c>
      <c r="I62" s="90">
        <v>5.05</v>
      </c>
      <c r="J62" s="51">
        <v>22158</v>
      </c>
      <c r="K62" s="90">
        <v>4.3</v>
      </c>
      <c r="L62" s="51">
        <v>22253</v>
      </c>
      <c r="M62" s="90">
        <v>5.55</v>
      </c>
      <c r="N62" s="16">
        <v>22233</v>
      </c>
      <c r="O62" s="91">
        <v>4.7</v>
      </c>
      <c r="P62" s="16">
        <v>22128</v>
      </c>
      <c r="Q62" s="91">
        <v>6.05</v>
      </c>
      <c r="R62" s="16">
        <v>22188</v>
      </c>
      <c r="S62" s="16">
        <v>21.1</v>
      </c>
      <c r="T62" s="16">
        <v>26</v>
      </c>
      <c r="U62" s="16">
        <v>38.4</v>
      </c>
      <c r="V62" s="16">
        <v>37</v>
      </c>
      <c r="W62" s="16">
        <v>5</v>
      </c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</row>
    <row r="63" spans="3:158" ht="15">
      <c r="C63" s="51">
        <v>325</v>
      </c>
      <c r="D63" s="88">
        <v>5.8</v>
      </c>
      <c r="E63" s="89"/>
      <c r="F63" s="89"/>
      <c r="G63" s="89"/>
      <c r="H63" s="51">
        <v>22113</v>
      </c>
      <c r="I63" s="90">
        <v>9.45</v>
      </c>
      <c r="J63" s="51">
        <v>22159</v>
      </c>
      <c r="K63" s="90">
        <v>6.35</v>
      </c>
      <c r="L63" s="51">
        <v>22254</v>
      </c>
      <c r="M63" s="90">
        <v>10.4</v>
      </c>
      <c r="N63" s="16">
        <v>22234</v>
      </c>
      <c r="O63" s="91">
        <v>6.95</v>
      </c>
      <c r="P63" s="16">
        <v>22129</v>
      </c>
      <c r="Q63" s="91">
        <v>11.35</v>
      </c>
      <c r="R63" s="16">
        <v>22189</v>
      </c>
      <c r="S63" s="16">
        <v>23.2</v>
      </c>
      <c r="T63" s="16">
        <v>30</v>
      </c>
      <c r="U63" s="16">
        <v>79.8</v>
      </c>
      <c r="V63" s="16">
        <v>133</v>
      </c>
      <c r="W63" s="16">
        <v>6</v>
      </c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</row>
    <row r="64" spans="3:158" ht="15">
      <c r="C64" s="51">
        <v>340</v>
      </c>
      <c r="D64" s="88">
        <v>5.25</v>
      </c>
      <c r="E64" s="89"/>
      <c r="F64" s="89"/>
      <c r="G64" s="89"/>
      <c r="H64" s="51">
        <v>22119</v>
      </c>
      <c r="I64" s="90">
        <v>7.35</v>
      </c>
      <c r="J64" s="51">
        <v>22142</v>
      </c>
      <c r="K64" s="90">
        <v>5.8</v>
      </c>
      <c r="L64" s="51"/>
      <c r="M64" s="90">
        <v>8.1</v>
      </c>
      <c r="N64" s="16"/>
      <c r="O64" s="91">
        <v>6.3</v>
      </c>
      <c r="P64" s="16">
        <v>22147</v>
      </c>
      <c r="Q64" s="91">
        <v>8.85</v>
      </c>
      <c r="R64" s="16">
        <v>22151</v>
      </c>
      <c r="S64" s="16">
        <v>25.5</v>
      </c>
      <c r="T64" s="16">
        <v>34</v>
      </c>
      <c r="U64" s="16">
        <v>41.4</v>
      </c>
      <c r="V64" s="16">
        <v>14</v>
      </c>
      <c r="W64" s="16">
        <v>4</v>
      </c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</row>
    <row r="65" spans="3:158" ht="15">
      <c r="C65" s="51">
        <v>360</v>
      </c>
      <c r="D65" s="88">
        <v>6.3</v>
      </c>
      <c r="E65" s="89"/>
      <c r="F65" s="89"/>
      <c r="G65" s="89"/>
      <c r="H65" s="51">
        <v>22124</v>
      </c>
      <c r="I65" s="90">
        <v>8.4</v>
      </c>
      <c r="J65" s="51">
        <v>22144</v>
      </c>
      <c r="K65" s="90">
        <v>6.95</v>
      </c>
      <c r="L65" s="51"/>
      <c r="M65" s="90">
        <v>9.25</v>
      </c>
      <c r="N65" s="16"/>
      <c r="O65" s="91">
        <v>7.6</v>
      </c>
      <c r="P65" s="16">
        <v>22148</v>
      </c>
      <c r="Q65" s="91">
        <v>10.1</v>
      </c>
      <c r="R65" s="16">
        <v>22167</v>
      </c>
      <c r="S65" s="16">
        <v>32</v>
      </c>
      <c r="T65" s="16">
        <v>42</v>
      </c>
      <c r="U65" s="16">
        <v>55.1</v>
      </c>
      <c r="V65" s="16">
        <v>16</v>
      </c>
      <c r="W65" s="16">
        <v>4</v>
      </c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</row>
    <row r="66" spans="3:158" ht="15">
      <c r="C66" s="51">
        <v>400</v>
      </c>
      <c r="D66" s="88">
        <v>9.45</v>
      </c>
      <c r="E66" s="89"/>
      <c r="F66" s="89"/>
      <c r="G66" s="89"/>
      <c r="H66" s="51">
        <v>22114</v>
      </c>
      <c r="I66" s="90">
        <v>13.65</v>
      </c>
      <c r="J66" s="51">
        <v>22160</v>
      </c>
      <c r="K66" s="90">
        <v>10.4</v>
      </c>
      <c r="L66" s="51">
        <v>22256</v>
      </c>
      <c r="M66" s="90">
        <v>15.05</v>
      </c>
      <c r="N66" s="16">
        <v>22236</v>
      </c>
      <c r="O66" s="91">
        <v>11.35</v>
      </c>
      <c r="P66" s="16">
        <v>22130</v>
      </c>
      <c r="Q66" s="91">
        <v>16.4</v>
      </c>
      <c r="R66" s="16">
        <v>22190</v>
      </c>
      <c r="S66" s="16">
        <v>36.3</v>
      </c>
      <c r="T66" s="16">
        <v>46</v>
      </c>
      <c r="U66" s="16">
        <v>93.1</v>
      </c>
      <c r="V66" s="16">
        <v>139.7</v>
      </c>
      <c r="W66" s="16">
        <v>6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</row>
    <row r="67" spans="3:158" ht="15">
      <c r="C67" s="51">
        <v>410</v>
      </c>
      <c r="D67" s="88">
        <v>7.35</v>
      </c>
      <c r="E67" s="89"/>
      <c r="F67" s="89"/>
      <c r="G67" s="89"/>
      <c r="H67" s="51">
        <v>22137</v>
      </c>
      <c r="I67" s="90">
        <v>11.55</v>
      </c>
      <c r="J67" s="51">
        <v>22146</v>
      </c>
      <c r="K67" s="90">
        <v>8.1</v>
      </c>
      <c r="L67" s="51"/>
      <c r="M67" s="90">
        <v>12.7</v>
      </c>
      <c r="N67" s="16"/>
      <c r="O67" s="91">
        <v>8.85</v>
      </c>
      <c r="P67" s="16">
        <v>22150</v>
      </c>
      <c r="Q67" s="91">
        <v>13.9</v>
      </c>
      <c r="R67" s="16">
        <v>22168</v>
      </c>
      <c r="S67" s="16">
        <v>37</v>
      </c>
      <c r="T67" s="16">
        <v>48.5</v>
      </c>
      <c r="U67" s="16">
        <v>67.6</v>
      </c>
      <c r="V67" s="16">
        <v>44.5</v>
      </c>
      <c r="W67" s="16">
        <v>4</v>
      </c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</row>
    <row r="68" spans="3:158" ht="15">
      <c r="C68" s="51">
        <v>425</v>
      </c>
      <c r="D68" s="88">
        <v>8.95</v>
      </c>
      <c r="E68" s="89"/>
      <c r="F68" s="89"/>
      <c r="G68" s="89"/>
      <c r="H68" s="51">
        <v>22115</v>
      </c>
      <c r="I68" s="90">
        <v>12.6</v>
      </c>
      <c r="J68" s="51">
        <v>22161</v>
      </c>
      <c r="K68" s="90">
        <v>9.85</v>
      </c>
      <c r="L68" s="51">
        <v>22257</v>
      </c>
      <c r="M68" s="90">
        <v>13.9</v>
      </c>
      <c r="N68" s="16">
        <v>22237</v>
      </c>
      <c r="O68" s="91">
        <v>10.75</v>
      </c>
      <c r="P68" s="16">
        <v>22131</v>
      </c>
      <c r="Q68" s="91">
        <v>15.15</v>
      </c>
      <c r="R68" s="16">
        <v>22191</v>
      </c>
      <c r="S68" s="16">
        <v>28.4</v>
      </c>
      <c r="T68" s="16">
        <v>37</v>
      </c>
      <c r="U68" s="16">
        <v>93.1</v>
      </c>
      <c r="V68" s="16">
        <v>144</v>
      </c>
      <c r="W68" s="16">
        <v>6</v>
      </c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</row>
    <row r="69" spans="3:158" ht="15">
      <c r="C69" s="51">
        <v>440</v>
      </c>
      <c r="D69" s="88">
        <v>10.25</v>
      </c>
      <c r="E69" s="89"/>
      <c r="F69" s="89"/>
      <c r="G69" s="89"/>
      <c r="H69" s="51"/>
      <c r="I69" s="90">
        <v>15.75</v>
      </c>
      <c r="J69" s="51"/>
      <c r="K69" s="90" t="s">
        <v>12</v>
      </c>
      <c r="L69" s="51"/>
      <c r="M69" s="90" t="s">
        <v>12</v>
      </c>
      <c r="N69" s="16"/>
      <c r="O69" s="91">
        <v>12.3</v>
      </c>
      <c r="P69" s="16"/>
      <c r="Q69" s="91">
        <v>18.9</v>
      </c>
      <c r="R69" s="16"/>
      <c r="S69" s="16"/>
      <c r="T69" s="16"/>
      <c r="U69" s="16"/>
      <c r="V69" s="16"/>
      <c r="W69" s="1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</row>
    <row r="70" spans="3:158" ht="15">
      <c r="C70" s="51">
        <v>475</v>
      </c>
      <c r="D70" s="88">
        <v>8.4</v>
      </c>
      <c r="E70" s="89"/>
      <c r="F70" s="89"/>
      <c r="G70" s="89"/>
      <c r="H70" s="51">
        <v>22116</v>
      </c>
      <c r="I70" s="90">
        <v>12.6</v>
      </c>
      <c r="J70" s="51">
        <v>22162</v>
      </c>
      <c r="K70" s="90">
        <v>9.25</v>
      </c>
      <c r="L70" s="51">
        <v>22258</v>
      </c>
      <c r="M70" s="90">
        <v>13.9</v>
      </c>
      <c r="N70" s="16">
        <v>22238</v>
      </c>
      <c r="O70" s="91">
        <v>10.1</v>
      </c>
      <c r="P70" s="16">
        <v>22132</v>
      </c>
      <c r="Q70" s="91">
        <v>15.15</v>
      </c>
      <c r="R70" s="16">
        <v>22192</v>
      </c>
      <c r="S70" s="16">
        <v>41.3</v>
      </c>
      <c r="T70" s="16">
        <v>48.5</v>
      </c>
      <c r="U70" s="16">
        <v>68.6</v>
      </c>
      <c r="V70" s="16">
        <v>60.3</v>
      </c>
      <c r="W70" s="16">
        <v>5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</row>
    <row r="71" spans="3:158" ht="15">
      <c r="C71" s="51">
        <v>500</v>
      </c>
      <c r="D71" s="88">
        <v>16.8</v>
      </c>
      <c r="E71" s="89"/>
      <c r="F71" s="89"/>
      <c r="G71" s="89"/>
      <c r="H71" s="51">
        <v>22117</v>
      </c>
      <c r="I71" s="90">
        <v>25.2</v>
      </c>
      <c r="J71" s="51">
        <v>22163</v>
      </c>
      <c r="K71" s="90">
        <v>18.5</v>
      </c>
      <c r="L71" s="51">
        <v>22259</v>
      </c>
      <c r="M71" s="90">
        <v>27.75</v>
      </c>
      <c r="N71" s="16">
        <v>22239</v>
      </c>
      <c r="O71" s="91">
        <v>20.2</v>
      </c>
      <c r="P71" s="16">
        <v>22133</v>
      </c>
      <c r="Q71" s="91">
        <v>30.25</v>
      </c>
      <c r="R71" s="16">
        <v>22193</v>
      </c>
      <c r="S71" s="16">
        <v>60.3</v>
      </c>
      <c r="T71" s="16">
        <v>71.5</v>
      </c>
      <c r="U71" s="16">
        <v>99.8</v>
      </c>
      <c r="V71" s="16">
        <v>100</v>
      </c>
      <c r="W71" s="16">
        <v>5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</row>
    <row r="72" spans="3:158" ht="15">
      <c r="C72" s="51">
        <v>525</v>
      </c>
      <c r="D72" s="88">
        <v>16.3</v>
      </c>
      <c r="E72" s="89"/>
      <c r="F72" s="89"/>
      <c r="G72" s="89"/>
      <c r="H72" s="51">
        <v>22118</v>
      </c>
      <c r="I72" s="90">
        <v>24.15</v>
      </c>
      <c r="J72" s="51">
        <v>22164</v>
      </c>
      <c r="K72" s="90">
        <v>17.9</v>
      </c>
      <c r="L72" s="51">
        <v>22247</v>
      </c>
      <c r="M72" s="90">
        <v>26.6</v>
      </c>
      <c r="N72" s="51">
        <v>22242</v>
      </c>
      <c r="O72" s="91">
        <v>19.55</v>
      </c>
      <c r="P72" s="16">
        <v>22134</v>
      </c>
      <c r="Q72" s="91">
        <v>29</v>
      </c>
      <c r="R72" s="16">
        <v>22194</v>
      </c>
      <c r="S72" s="16">
        <v>55.4</v>
      </c>
      <c r="T72" s="16">
        <v>63.5</v>
      </c>
      <c r="U72" s="16">
        <v>99.8</v>
      </c>
      <c r="V72" s="16">
        <v>1333</v>
      </c>
      <c r="W72" s="16">
        <v>6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</row>
    <row r="73" spans="3:158" ht="15">
      <c r="C73" s="51">
        <v>575</v>
      </c>
      <c r="D73" s="88">
        <v>14.2</v>
      </c>
      <c r="E73" s="89"/>
      <c r="F73" s="89"/>
      <c r="G73" s="89"/>
      <c r="H73" s="51">
        <v>22122</v>
      </c>
      <c r="I73" s="90">
        <v>23.1</v>
      </c>
      <c r="J73" s="51">
        <v>22165</v>
      </c>
      <c r="K73" s="90">
        <v>16</v>
      </c>
      <c r="L73" s="51">
        <v>22248</v>
      </c>
      <c r="M73" s="90">
        <v>25.45</v>
      </c>
      <c r="N73" s="51">
        <v>22243</v>
      </c>
      <c r="O73" s="91">
        <v>17.05</v>
      </c>
      <c r="P73" s="16">
        <v>22135</v>
      </c>
      <c r="Q73" s="91">
        <v>27.75</v>
      </c>
      <c r="R73" s="16">
        <v>22195</v>
      </c>
      <c r="S73" s="16">
        <v>48</v>
      </c>
      <c r="T73" s="16">
        <v>58</v>
      </c>
      <c r="U73" s="16">
        <v>79.5</v>
      </c>
      <c r="V73" s="16">
        <v>130</v>
      </c>
      <c r="W73" s="16">
        <v>5</v>
      </c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</row>
    <row r="74" spans="3:158" ht="15">
      <c r="C74" s="51">
        <v>615</v>
      </c>
      <c r="D74" s="88">
        <v>31.5</v>
      </c>
      <c r="E74" s="89"/>
      <c r="F74" s="89"/>
      <c r="G74" s="89"/>
      <c r="H74" s="51">
        <v>22123</v>
      </c>
      <c r="I74" s="90">
        <v>40.95</v>
      </c>
      <c r="J74" s="51">
        <v>22166</v>
      </c>
      <c r="K74" s="51" t="s">
        <v>12</v>
      </c>
      <c r="L74" s="51" t="s">
        <v>12</v>
      </c>
      <c r="M74" s="51" t="s">
        <v>12</v>
      </c>
      <c r="N74" s="16" t="s">
        <v>12</v>
      </c>
      <c r="O74" s="91">
        <v>37.8</v>
      </c>
      <c r="P74" s="16">
        <v>22136</v>
      </c>
      <c r="Q74" s="91">
        <v>49.15</v>
      </c>
      <c r="R74" s="16">
        <v>22196</v>
      </c>
      <c r="S74" s="16">
        <v>81.6</v>
      </c>
      <c r="T74" s="16">
        <v>102</v>
      </c>
      <c r="U74" s="16">
        <v>155.5</v>
      </c>
      <c r="V74" s="16">
        <v>219</v>
      </c>
      <c r="W74" s="16">
        <v>6</v>
      </c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</row>
    <row r="75" spans="3:158" ht="15">
      <c r="C75" s="51">
        <v>650</v>
      </c>
      <c r="D75" s="88">
        <v>24.15</v>
      </c>
      <c r="E75" s="51"/>
      <c r="F75" s="51"/>
      <c r="G75" s="51"/>
      <c r="H75" s="51">
        <v>22061</v>
      </c>
      <c r="I75" s="90">
        <v>34.65</v>
      </c>
      <c r="J75" s="51">
        <v>22071</v>
      </c>
      <c r="K75" s="51"/>
      <c r="L75" s="51"/>
      <c r="M75" s="51"/>
      <c r="N75" s="16"/>
      <c r="O75" s="91">
        <v>29</v>
      </c>
      <c r="P75" s="91"/>
      <c r="Q75" s="91">
        <v>41.6</v>
      </c>
      <c r="R75" s="16"/>
      <c r="S75" s="16"/>
      <c r="T75" s="16"/>
      <c r="U75" s="16"/>
      <c r="V75" s="16"/>
      <c r="W75" s="1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</row>
    <row r="76" spans="3:158" ht="15"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</row>
    <row r="77" spans="3:158" ht="15">
      <c r="C77" s="82" t="s">
        <v>16</v>
      </c>
      <c r="D77" s="88">
        <v>2.8</v>
      </c>
      <c r="E77" s="82"/>
      <c r="F77" s="82"/>
      <c r="G77" s="82"/>
      <c r="H77" s="82">
        <v>22020</v>
      </c>
      <c r="I77" s="90">
        <v>3.3</v>
      </c>
      <c r="J77" s="82">
        <v>22040</v>
      </c>
      <c r="K77" s="82"/>
      <c r="L77" s="82"/>
      <c r="M77" s="8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</row>
    <row r="78" spans="3:158" ht="15">
      <c r="C78" s="82" t="s">
        <v>17</v>
      </c>
      <c r="D78" s="88">
        <v>3.4</v>
      </c>
      <c r="E78" s="82"/>
      <c r="F78" s="82"/>
      <c r="G78" s="82"/>
      <c r="H78" s="82">
        <v>22021</v>
      </c>
      <c r="I78" s="90">
        <v>4</v>
      </c>
      <c r="J78" s="82">
        <v>22041</v>
      </c>
      <c r="K78" s="82"/>
      <c r="L78" s="82"/>
      <c r="M78" s="8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</row>
    <row r="79" spans="3:158" ht="15">
      <c r="C79" s="82" t="s">
        <v>18</v>
      </c>
      <c r="D79" s="88">
        <v>4.5</v>
      </c>
      <c r="E79" s="82"/>
      <c r="F79" s="82"/>
      <c r="G79" s="82"/>
      <c r="H79" s="82">
        <v>22022</v>
      </c>
      <c r="I79" s="90">
        <v>7</v>
      </c>
      <c r="J79" s="82">
        <v>22042</v>
      </c>
      <c r="K79" s="82"/>
      <c r="L79" s="82"/>
      <c r="M79" s="8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</row>
    <row r="80" spans="3:158" ht="15">
      <c r="C80" s="82" t="s">
        <v>19</v>
      </c>
      <c r="D80" s="88">
        <v>3.6</v>
      </c>
      <c r="E80" s="82"/>
      <c r="F80" s="82"/>
      <c r="G80" s="82"/>
      <c r="H80" s="82">
        <v>22023</v>
      </c>
      <c r="I80" s="90">
        <v>5</v>
      </c>
      <c r="J80" s="82">
        <v>22043</v>
      </c>
      <c r="K80" s="82"/>
      <c r="L80" s="82"/>
      <c r="M80" s="8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</row>
    <row r="81" spans="3:158" ht="15">
      <c r="C81" s="82" t="s">
        <v>20</v>
      </c>
      <c r="D81" s="88">
        <v>4.4</v>
      </c>
      <c r="E81" s="82"/>
      <c r="F81" s="82"/>
      <c r="G81" s="82"/>
      <c r="H81" s="82">
        <v>22024</v>
      </c>
      <c r="I81" s="90">
        <v>6.5</v>
      </c>
      <c r="J81" s="82">
        <v>22044</v>
      </c>
      <c r="K81" s="82"/>
      <c r="L81" s="82"/>
      <c r="M81" s="8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</row>
    <row r="82" spans="3:158" ht="15">
      <c r="C82" s="82" t="s">
        <v>21</v>
      </c>
      <c r="D82" s="88">
        <v>8</v>
      </c>
      <c r="E82" s="12"/>
      <c r="F82" s="12"/>
      <c r="G82" s="12"/>
      <c r="H82" s="82">
        <v>22025</v>
      </c>
      <c r="I82" s="90">
        <v>9.75</v>
      </c>
      <c r="J82" s="82">
        <v>22045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</row>
    <row r="83" spans="3:158" ht="15">
      <c r="C83" s="82" t="s">
        <v>22</v>
      </c>
      <c r="D83" s="88">
        <v>6</v>
      </c>
      <c r="E83" s="12"/>
      <c r="F83" s="12"/>
      <c r="G83" s="12"/>
      <c r="H83" s="82">
        <v>22026</v>
      </c>
      <c r="I83" s="90">
        <v>7.9</v>
      </c>
      <c r="J83" s="82">
        <v>22046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</row>
    <row r="84" spans="3:158" ht="15">
      <c r="C84" s="82" t="s">
        <v>23</v>
      </c>
      <c r="D84" s="88">
        <v>7.5</v>
      </c>
      <c r="E84" s="12"/>
      <c r="F84" s="12"/>
      <c r="G84" s="12"/>
      <c r="H84" s="82">
        <v>22027</v>
      </c>
      <c r="I84" s="90">
        <v>11</v>
      </c>
      <c r="J84" s="82">
        <v>22047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</row>
    <row r="85" spans="3:158" ht="15">
      <c r="C85" s="82" t="s">
        <v>24</v>
      </c>
      <c r="D85" s="88">
        <v>8.5</v>
      </c>
      <c r="E85" s="12"/>
      <c r="F85" s="12"/>
      <c r="G85" s="12"/>
      <c r="H85" s="82">
        <v>22028</v>
      </c>
      <c r="I85" s="90">
        <v>13</v>
      </c>
      <c r="J85" s="82">
        <v>22048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</row>
    <row r="86" spans="3:158" ht="15">
      <c r="C86" s="82" t="s">
        <v>25</v>
      </c>
      <c r="D86" s="88">
        <v>7</v>
      </c>
      <c r="E86" s="12"/>
      <c r="F86" s="12"/>
      <c r="G86" s="12"/>
      <c r="H86" s="82">
        <v>22029</v>
      </c>
      <c r="I86" s="90">
        <v>11</v>
      </c>
      <c r="J86" s="82">
        <v>22049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</row>
    <row r="87" spans="3:158" ht="15">
      <c r="C87" s="82" t="s">
        <v>26</v>
      </c>
      <c r="D87" s="88">
        <v>14</v>
      </c>
      <c r="E87" s="12"/>
      <c r="F87" s="12"/>
      <c r="G87" s="12"/>
      <c r="H87" s="82">
        <v>22030</v>
      </c>
      <c r="I87" s="90">
        <v>21</v>
      </c>
      <c r="J87" s="82">
        <v>22050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</row>
    <row r="88" spans="3:158" ht="15">
      <c r="C88" s="82" t="s">
        <v>27</v>
      </c>
      <c r="D88" s="88">
        <v>13.5</v>
      </c>
      <c r="E88" s="12"/>
      <c r="F88" s="12"/>
      <c r="G88" s="12"/>
      <c r="H88" s="82">
        <v>22031</v>
      </c>
      <c r="I88" s="90">
        <v>20</v>
      </c>
      <c r="J88" s="82">
        <v>22051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</row>
    <row r="89" spans="3:158" ht="15">
      <c r="C89" s="82" t="s">
        <v>28</v>
      </c>
      <c r="D89" s="88">
        <v>11</v>
      </c>
      <c r="E89" s="12"/>
      <c r="F89" s="12"/>
      <c r="G89" s="12"/>
      <c r="H89" s="82">
        <v>22032</v>
      </c>
      <c r="I89" s="90">
        <v>17.5</v>
      </c>
      <c r="J89" s="82">
        <v>22052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</row>
    <row r="90" spans="3:158" ht="15">
      <c r="C90" s="82" t="s">
        <v>29</v>
      </c>
      <c r="D90" s="88">
        <v>20</v>
      </c>
      <c r="E90" s="12"/>
      <c r="F90" s="12"/>
      <c r="G90" s="12"/>
      <c r="H90" s="82">
        <v>22033</v>
      </c>
      <c r="I90" s="90">
        <v>28</v>
      </c>
      <c r="J90" s="82">
        <v>22053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</row>
    <row r="91" spans="3:158" ht="15">
      <c r="C91" s="82" t="s">
        <v>30</v>
      </c>
      <c r="D91" s="88">
        <v>20</v>
      </c>
      <c r="E91" s="12"/>
      <c r="F91" s="12"/>
      <c r="G91" s="12"/>
      <c r="H91" s="82">
        <v>22034</v>
      </c>
      <c r="I91" s="90">
        <v>28</v>
      </c>
      <c r="J91" s="82">
        <v>22054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</row>
    <row r="92" spans="3:158" ht="1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</row>
    <row r="93" spans="3:158" ht="1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</row>
    <row r="94" spans="3:158" ht="1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</row>
    <row r="95" spans="3:158" ht="1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</row>
    <row r="96" spans="3:158" ht="1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</row>
    <row r="97" spans="3:158" ht="1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</row>
    <row r="98" spans="3:158" ht="1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</row>
    <row r="99" spans="3:158" ht="1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</row>
    <row r="100" spans="3:158" ht="1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</row>
    <row r="101" spans="3:158" ht="1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</row>
    <row r="102" spans="3:158" ht="1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</row>
    <row r="103" spans="3:158" ht="1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</row>
    <row r="104" spans="3:158" ht="1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</row>
    <row r="105" spans="3:158" ht="1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</row>
    <row r="106" spans="3:158" ht="1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</row>
    <row r="107" spans="3:158" ht="1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</row>
    <row r="108" spans="3:158" ht="1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</row>
    <row r="109" spans="3:158" ht="1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</row>
    <row r="110" spans="3:158" ht="1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</row>
    <row r="111" spans="3:158" ht="1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</row>
    <row r="112" spans="3:158" ht="1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</row>
    <row r="113" spans="3:158" ht="1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</row>
    <row r="114" spans="3:158" ht="1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</row>
    <row r="115" spans="3:158" ht="1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</row>
    <row r="116" spans="3:158" ht="1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</row>
    <row r="117" spans="3:158" ht="1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</row>
    <row r="118" spans="3:158" ht="1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</row>
    <row r="119" spans="3:73" ht="1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</row>
    <row r="120" spans="3:73" ht="1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</row>
    <row r="121" spans="3:73" ht="1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</row>
    <row r="122" spans="3:73" ht="1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</row>
    <row r="123" spans="3:73" ht="1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</row>
    <row r="124" spans="3:73" ht="1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</row>
    <row r="125" spans="3:73" ht="1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</row>
    <row r="126" spans="3:73" ht="1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</row>
    <row r="127" spans="3:73" ht="1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</row>
    <row r="128" spans="3:73" ht="1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</row>
    <row r="129" spans="3:73" ht="1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</row>
    <row r="130" spans="3:73" ht="1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</row>
    <row r="131" spans="3:73" ht="1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</row>
    <row r="132" spans="3:73" ht="1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</row>
    <row r="133" spans="3:73" ht="1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</row>
    <row r="134" spans="3:73" ht="1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</row>
    <row r="135" spans="3:73" ht="1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</row>
    <row r="136" spans="3:73" ht="1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</row>
    <row r="137" spans="3:73" ht="1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</row>
    <row r="138" spans="3:73" ht="1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</row>
    <row r="139" spans="3:73" ht="1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</row>
    <row r="140" spans="3:73" ht="1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</row>
    <row r="141" spans="3:73" ht="1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</row>
    <row r="142" spans="3:73" ht="1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</row>
    <row r="143" spans="3:73" ht="1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</row>
    <row r="144" spans="3:73" ht="1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</row>
    <row r="145" spans="3:73" ht="1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</row>
    <row r="146" spans="3:73" ht="1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</row>
    <row r="147" spans="3:73" ht="1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</row>
    <row r="148" spans="3:73" ht="1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</row>
    <row r="149" spans="3:73" ht="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</row>
    <row r="150" spans="3:73" ht="1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</row>
    <row r="151" spans="3:73" ht="1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</row>
    <row r="152" spans="3:73" ht="1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</row>
    <row r="153" spans="3:73" ht="1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</row>
    <row r="154" spans="3:73" ht="1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</row>
    <row r="155" spans="3:73" ht="1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</row>
    <row r="156" spans="3:73" ht="1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</row>
    <row r="157" spans="3:73" ht="1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</row>
    <row r="158" spans="3:73" ht="1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</row>
    <row r="159" spans="3:73" ht="1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</row>
    <row r="160" spans="3:73" ht="1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</row>
    <row r="161" spans="3:73" ht="1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</row>
    <row r="162" spans="3:73" ht="1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</row>
    <row r="163" spans="3:73" ht="1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</row>
    <row r="164" spans="3:73" ht="1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</row>
    <row r="165" spans="3:73" ht="1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</row>
    <row r="166" spans="3:73" ht="1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</row>
    <row r="167" spans="3:73" ht="1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</row>
    <row r="168" spans="3:73" ht="1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</row>
    <row r="169" spans="3:73" ht="1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</row>
    <row r="170" spans="3:73" ht="1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</row>
    <row r="171" spans="3:73" ht="1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</row>
    <row r="172" spans="3:73" ht="1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</row>
    <row r="173" spans="3:73" ht="1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</row>
    <row r="174" spans="3:73" ht="1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</row>
    <row r="175" spans="3:73" ht="1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</row>
    <row r="176" spans="3:73" ht="1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</row>
    <row r="177" spans="3:73" ht="1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</row>
    <row r="178" spans="3:73" ht="1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</row>
    <row r="179" spans="3:73" ht="1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</row>
    <row r="180" spans="3:73" ht="1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</row>
  </sheetData>
  <sheetProtection password="FDAD" sheet="1" objects="1" scenarios="1"/>
  <mergeCells count="7">
    <mergeCell ref="C55:I55"/>
    <mergeCell ref="C47:I47"/>
    <mergeCell ref="J47:L47"/>
    <mergeCell ref="K49:M49"/>
    <mergeCell ref="I49:J49"/>
    <mergeCell ref="C7:G7"/>
    <mergeCell ref="C8:G8"/>
  </mergeCells>
  <printOptions/>
  <pageMargins left="0.31" right="0.46" top="0.39" bottom="0.39" header="0.511811023" footer="0.511811023"/>
  <pageSetup fitToHeight="1" fitToWidth="1" horizontalDpi="600" verticalDpi="600" orientation="landscape" paperSize="9" scale="6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 transitionEvaluation="1"/>
  <dimension ref="A1:FB165"/>
  <sheetViews>
    <sheetView showGridLines="0" zoomScale="70" zoomScaleNormal="70" workbookViewId="0" topLeftCell="A1">
      <selection activeCell="H10" sqref="H10"/>
    </sheetView>
  </sheetViews>
  <sheetFormatPr defaultColWidth="9.77734375" defaultRowHeight="15"/>
  <cols>
    <col min="1" max="1" width="1.99609375" style="12" customWidth="1"/>
    <col min="2" max="2" width="0.10546875" style="12" customWidth="1"/>
    <col min="3" max="3" width="13.21484375" style="13" customWidth="1"/>
    <col min="4" max="4" width="20.3359375" style="13" customWidth="1"/>
    <col min="5" max="5" width="14.6640625" style="13" customWidth="1"/>
    <col min="6" max="6" width="19.99609375" style="13" customWidth="1"/>
    <col min="7" max="7" width="17.99609375" style="13" customWidth="1"/>
    <col min="8" max="8" width="17.5546875" style="13" customWidth="1"/>
    <col min="9" max="9" width="17.5546875" style="13" hidden="1" customWidth="1"/>
    <col min="10" max="13" width="17.5546875" style="13" customWidth="1"/>
    <col min="14" max="14" width="7.21484375" style="13" customWidth="1"/>
    <col min="15" max="15" width="12.77734375" style="13" customWidth="1"/>
    <col min="16" max="16" width="9.77734375" style="13" customWidth="1"/>
    <col min="17" max="17" width="13.10546875" style="13" customWidth="1"/>
    <col min="18" max="18" width="14.99609375" style="13" customWidth="1"/>
    <col min="19" max="16384" width="9.77734375" style="13" customWidth="1"/>
  </cols>
  <sheetData>
    <row r="1" spans="3:25" ht="16.5" customHeight="1" thickBot="1">
      <c r="C1" s="13" t="s">
        <v>69</v>
      </c>
      <c r="H1" s="13" t="s">
        <v>70</v>
      </c>
      <c r="J1" s="13" t="s">
        <v>45</v>
      </c>
      <c r="L1" s="12">
        <v>1</v>
      </c>
      <c r="N1" s="12"/>
      <c r="O1" s="12"/>
      <c r="P1" s="12"/>
      <c r="Q1" s="12"/>
      <c r="R1" s="12"/>
      <c r="S1" s="12"/>
      <c r="T1" s="12"/>
      <c r="U1" s="12" t="s">
        <v>97</v>
      </c>
      <c r="V1" s="12"/>
      <c r="W1" s="12"/>
      <c r="X1" s="12"/>
      <c r="Y1" s="12" t="s">
        <v>104</v>
      </c>
    </row>
    <row r="2" spans="3:25" ht="35.25" customHeight="1" thickBot="1">
      <c r="C2" s="119" t="s">
        <v>71</v>
      </c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6"/>
      <c r="O2" s="16" t="s">
        <v>31</v>
      </c>
      <c r="P2" s="16" t="s">
        <v>32</v>
      </c>
      <c r="Q2" s="16"/>
      <c r="R2" s="16" t="s">
        <v>33</v>
      </c>
      <c r="S2" s="16" t="s">
        <v>34</v>
      </c>
      <c r="T2" s="12"/>
      <c r="U2" s="12" t="s">
        <v>97</v>
      </c>
      <c r="V2" s="12"/>
      <c r="W2" s="12"/>
      <c r="X2" s="12"/>
      <c r="Y2" s="12" t="s">
        <v>103</v>
      </c>
    </row>
    <row r="3" spans="3:25" ht="21" customHeight="1">
      <c r="C3" s="160" t="str">
        <f>IF(AND(C14&lt;4,C15&lt;4,C17&lt;5,C18&lt;5,C19&lt;6,C20&lt;4,C21&lt;4,C22&lt;6,C23&lt;4,C24&lt;6,C25&lt;5,C26&lt;4,C27&lt;5,C28&lt;6,C29&lt;6,C30&lt;5,C31&lt;5),"No suitable Link Seal Type S-LS. Please check the Original Link-Seal","")</f>
        <v>No suitable Link Seal Type S-LS. Please check the Original Link-Seal</v>
      </c>
      <c r="D3" s="109"/>
      <c r="E3" s="109"/>
      <c r="F3" s="109"/>
      <c r="G3" s="110"/>
      <c r="H3" s="18"/>
      <c r="I3" s="18"/>
      <c r="J3" s="18"/>
      <c r="K3" s="118"/>
      <c r="L3" s="18"/>
      <c r="M3" s="20"/>
      <c r="N3" s="16">
        <v>200</v>
      </c>
      <c r="O3" s="16">
        <v>30</v>
      </c>
      <c r="P3" s="16">
        <v>12.1</v>
      </c>
      <c r="Q3" s="16"/>
      <c r="R3" s="16"/>
      <c r="S3" s="16">
        <v>12.7</v>
      </c>
      <c r="T3" s="12"/>
      <c r="U3" s="12"/>
      <c r="V3" s="12"/>
      <c r="W3" s="12"/>
      <c r="X3" s="12"/>
      <c r="Y3" s="12"/>
    </row>
    <row r="4" spans="3:20" ht="21" customHeight="1">
      <c r="C4" s="161" t="str">
        <f>IF(AND(C14&lt;4,C15&lt;4,C17&lt;5,C18&lt;5,C19&lt;6,C20&lt;4,C21&lt;4,C22&lt;6,C23&lt;4,C24&lt;6,C25&lt;5,C26&lt;4,C27&lt;5,C28&lt;6,C29&lt;6,C30&lt;5,C31&lt;5),"or a Compakt Sealing","")</f>
        <v>or a Compakt Sealing</v>
      </c>
      <c r="D4" s="106"/>
      <c r="E4" s="106"/>
      <c r="F4" s="106"/>
      <c r="G4" s="111"/>
      <c r="H4" s="18"/>
      <c r="I4" s="18"/>
      <c r="J4" s="18"/>
      <c r="K4" s="118"/>
      <c r="L4" s="18"/>
      <c r="M4" s="20"/>
      <c r="N4" s="16"/>
      <c r="O4" s="16"/>
      <c r="P4" s="16"/>
      <c r="Q4" s="16"/>
      <c r="R4" s="16"/>
      <c r="S4" s="16"/>
      <c r="T4" s="12"/>
    </row>
    <row r="5" spans="3:23" ht="21" customHeight="1">
      <c r="C5" s="161">
        <f>IF(AND(H10&lt;H11),"Aattention: Casing ID smaller as Carrier OD","")</f>
      </c>
      <c r="D5" s="106"/>
      <c r="E5" s="106"/>
      <c r="F5" s="106"/>
      <c r="G5" s="111"/>
      <c r="H5" s="18"/>
      <c r="I5" s="18"/>
      <c r="J5" s="18"/>
      <c r="K5" s="18"/>
      <c r="L5" s="18"/>
      <c r="M5" s="20"/>
      <c r="N5" s="16">
        <v>275</v>
      </c>
      <c r="O5" s="16">
        <v>25.1</v>
      </c>
      <c r="P5" s="16">
        <v>15.4</v>
      </c>
      <c r="Q5" s="16"/>
      <c r="R5" s="16"/>
      <c r="S5" s="16">
        <v>15.7</v>
      </c>
      <c r="T5" s="12"/>
      <c r="U5" s="105"/>
      <c r="V5" s="12"/>
      <c r="W5" s="12"/>
    </row>
    <row r="6" spans="3:23" ht="21" customHeight="1">
      <c r="C6" s="161">
        <f>IF(AND(L10&lt;12.7),"Attention, annular  space to small for Link-Seal Typ S-LS","")</f>
      </c>
      <c r="D6" s="106"/>
      <c r="E6" s="106"/>
      <c r="F6" s="106"/>
      <c r="G6" s="111"/>
      <c r="H6" s="18"/>
      <c r="I6" s="18"/>
      <c r="J6" s="18"/>
      <c r="K6" s="125" t="s">
        <v>73</v>
      </c>
      <c r="L6" s="117"/>
      <c r="M6" s="20"/>
      <c r="N6" s="16">
        <v>300</v>
      </c>
      <c r="O6" s="16">
        <v>40.1</v>
      </c>
      <c r="P6" s="16">
        <v>17.4</v>
      </c>
      <c r="Q6" s="16"/>
      <c r="R6" s="16">
        <v>40.5</v>
      </c>
      <c r="S6" s="16">
        <v>17.4</v>
      </c>
      <c r="T6" s="12"/>
      <c r="U6" s="105"/>
      <c r="V6" s="12"/>
      <c r="W6" s="12"/>
    </row>
    <row r="7" spans="3:23" ht="21" customHeight="1">
      <c r="C7" s="162">
        <f>IF(AND(L10&gt;95),"Attention: Annular space too big for S-LS","")</f>
      </c>
      <c r="D7" s="165"/>
      <c r="E7" s="106"/>
      <c r="F7" s="106"/>
      <c r="G7" s="164"/>
      <c r="H7" s="18"/>
      <c r="I7" s="22"/>
      <c r="J7" s="18"/>
      <c r="K7" s="18"/>
      <c r="L7" s="18"/>
      <c r="M7" s="20"/>
      <c r="N7" s="16">
        <v>315</v>
      </c>
      <c r="O7" s="16">
        <v>38.4</v>
      </c>
      <c r="P7" s="16">
        <v>20.5</v>
      </c>
      <c r="Q7" s="16"/>
      <c r="R7" s="16">
        <v>37</v>
      </c>
      <c r="S7" s="16">
        <v>20.1</v>
      </c>
      <c r="T7" s="12"/>
      <c r="U7" s="105"/>
      <c r="V7" s="12"/>
      <c r="W7" s="12"/>
    </row>
    <row r="8" spans="3:23" ht="21" customHeight="1">
      <c r="C8" s="189">
        <f>IF(AND(C14&gt;3,H11&gt;150,L10&lt;15.71,L10&gt;12.49),U1,IF(AND(C17&gt;4,H11&gt;250,L10&lt;22.51,L10&gt;17.49),U2,""))</f>
      </c>
      <c r="D8" s="190"/>
      <c r="E8" s="190"/>
      <c r="F8" s="190"/>
      <c r="G8" s="191"/>
      <c r="H8" s="108"/>
      <c r="I8" s="22"/>
      <c r="J8" s="18"/>
      <c r="K8" s="18"/>
      <c r="L8" s="18"/>
      <c r="M8" s="20"/>
      <c r="N8" s="16"/>
      <c r="O8" s="16"/>
      <c r="P8" s="16"/>
      <c r="Q8" s="16"/>
      <c r="R8" s="16"/>
      <c r="S8" s="16"/>
      <c r="T8" s="12"/>
      <c r="U8" s="105"/>
      <c r="V8" s="12"/>
      <c r="W8" s="12"/>
    </row>
    <row r="9" spans="3:23" ht="21" customHeight="1" thickBot="1">
      <c r="C9" s="192">
        <f>IF(AND(C14&gt;3,H11&gt;150,L10&lt;15.71,L10&gt;12.49),Y1,IF(AND(C17&gt;4,H11&gt;250,L10&lt;22.51,L10&gt;17.49),Y2,""))</f>
      </c>
      <c r="D9" s="193"/>
      <c r="E9" s="193"/>
      <c r="F9" s="193"/>
      <c r="G9" s="194"/>
      <c r="H9" s="108" t="s">
        <v>46</v>
      </c>
      <c r="I9" s="22"/>
      <c r="J9" s="18"/>
      <c r="K9" s="18"/>
      <c r="L9" s="18"/>
      <c r="M9" s="20"/>
      <c r="N9" s="16"/>
      <c r="O9" s="16"/>
      <c r="P9" s="16"/>
      <c r="Q9" s="16"/>
      <c r="R9" s="16"/>
      <c r="S9" s="16"/>
      <c r="T9" s="12"/>
      <c r="U9" s="105"/>
      <c r="V9" s="12"/>
      <c r="W9" s="12"/>
    </row>
    <row r="10" spans="3:23" ht="21.75" customHeight="1">
      <c r="C10" s="23"/>
      <c r="D10" s="24"/>
      <c r="E10" s="24"/>
      <c r="F10" s="24" t="s">
        <v>81</v>
      </c>
      <c r="G10" s="25"/>
      <c r="H10" s="148">
        <f>'Enter Dim.'!H8</f>
        <v>400</v>
      </c>
      <c r="I10" s="26" t="s">
        <v>0</v>
      </c>
      <c r="J10" s="115" t="s">
        <v>0</v>
      </c>
      <c r="K10" s="28" t="s">
        <v>49</v>
      </c>
      <c r="L10" s="151">
        <f>(H10-H11)*0.5</f>
        <v>22.5</v>
      </c>
      <c r="M10" s="29" t="s">
        <v>0</v>
      </c>
      <c r="N10" s="16">
        <v>325</v>
      </c>
      <c r="O10" s="16">
        <v>79.4</v>
      </c>
      <c r="P10" s="16">
        <v>22.2</v>
      </c>
      <c r="Q10" s="16"/>
      <c r="R10" s="16">
        <v>79</v>
      </c>
      <c r="S10" s="16">
        <v>24</v>
      </c>
      <c r="T10" s="12"/>
      <c r="U10" s="105"/>
      <c r="V10" s="12"/>
      <c r="W10" s="12"/>
    </row>
    <row r="11" spans="3:23" ht="21.75" customHeight="1" thickBot="1">
      <c r="C11" s="30"/>
      <c r="D11" s="24"/>
      <c r="E11" s="24"/>
      <c r="F11" s="24" t="s">
        <v>80</v>
      </c>
      <c r="G11" s="25"/>
      <c r="H11" s="149">
        <f>'Enter Dim.'!H9</f>
        <v>355</v>
      </c>
      <c r="I11" s="26" t="s">
        <v>0</v>
      </c>
      <c r="J11" s="116" t="s">
        <v>0</v>
      </c>
      <c r="K11" s="32"/>
      <c r="L11" s="33">
        <f>(H10+H11)/2*3.14</f>
        <v>1185.35</v>
      </c>
      <c r="M11" s="34"/>
      <c r="N11" s="16">
        <v>340</v>
      </c>
      <c r="O11" s="16">
        <v>41.4</v>
      </c>
      <c r="P11" s="16">
        <v>25</v>
      </c>
      <c r="Q11" s="16"/>
      <c r="R11" s="16">
        <v>42</v>
      </c>
      <c r="S11" s="16">
        <v>24.5</v>
      </c>
      <c r="T11" s="12"/>
      <c r="U11" s="105"/>
      <c r="V11" s="12"/>
      <c r="W11" s="12"/>
    </row>
    <row r="12" spans="3:23" ht="34.5" customHeight="1" hidden="1">
      <c r="C12" s="23"/>
      <c r="D12" s="35" t="s">
        <v>15</v>
      </c>
      <c r="E12" s="24"/>
      <c r="F12" s="36"/>
      <c r="G12" s="36"/>
      <c r="H12" s="37">
        <v>2</v>
      </c>
      <c r="I12" s="38">
        <v>1</v>
      </c>
      <c r="J12" s="38">
        <v>2</v>
      </c>
      <c r="K12" s="38">
        <v>2</v>
      </c>
      <c r="L12" s="38">
        <v>2</v>
      </c>
      <c r="M12" s="39">
        <v>2</v>
      </c>
      <c r="N12" s="16">
        <v>360</v>
      </c>
      <c r="O12" s="16">
        <v>55.1</v>
      </c>
      <c r="P12" s="16">
        <v>31.5</v>
      </c>
      <c r="Q12" s="16"/>
      <c r="R12" s="16">
        <v>55.5</v>
      </c>
      <c r="S12" s="16">
        <v>31.5</v>
      </c>
      <c r="T12" s="12"/>
      <c r="U12" s="105"/>
      <c r="V12" s="12"/>
      <c r="W12" s="12"/>
    </row>
    <row r="13" spans="3:23" ht="34.5" customHeight="1">
      <c r="C13" s="40" t="s">
        <v>72</v>
      </c>
      <c r="D13" s="41"/>
      <c r="E13" s="124" t="s">
        <v>50</v>
      </c>
      <c r="F13" s="122" t="s">
        <v>51</v>
      </c>
      <c r="G13" s="123" t="s">
        <v>52</v>
      </c>
      <c r="H13" s="42" t="s">
        <v>1</v>
      </c>
      <c r="I13" s="42" t="s">
        <v>4</v>
      </c>
      <c r="J13" s="43" t="s">
        <v>85</v>
      </c>
      <c r="K13" s="152" t="s">
        <v>82</v>
      </c>
      <c r="L13" s="43"/>
      <c r="M13" s="44"/>
      <c r="N13" s="16">
        <v>400</v>
      </c>
      <c r="O13" s="16">
        <v>93.1</v>
      </c>
      <c r="P13" s="16">
        <v>34.9</v>
      </c>
      <c r="Q13" s="16"/>
      <c r="R13" s="16">
        <v>93</v>
      </c>
      <c r="S13" s="16">
        <v>35.5</v>
      </c>
      <c r="T13" s="12"/>
      <c r="U13" s="105"/>
      <c r="V13" s="12"/>
      <c r="W13" s="12"/>
    </row>
    <row r="14" spans="1:23" ht="21" customHeight="1">
      <c r="A14" s="45" t="str">
        <f>IF(AND(L10&lt;16.01,L10&gt;12.69),L11/30," ")</f>
        <v> </v>
      </c>
      <c r="B14" s="45"/>
      <c r="C14" s="130" t="str">
        <f>IF(AND(L10&lt;16.01,L10&gt;12.69,A14&gt;3,H11&gt;21.29,H11&lt;324),L11/30," ")</f>
        <v> </v>
      </c>
      <c r="D14" s="131" t="str">
        <f>IF(AND(L10&lt;16.01,L10&gt;12.69,C14&gt;3),"Elemente LS 200 "," ")</f>
        <v> </v>
      </c>
      <c r="E14" s="132" t="str">
        <f>IF(AND(L10&lt;16.01,L10&gt;12.69,C14&gt;3),(U42*A14)/3.14+P3," ")</f>
        <v> </v>
      </c>
      <c r="F14" s="133" t="str">
        <f>IF(AND($L$10&lt;16.01,$L$10&gt;12.69,C14&gt;3),"12,7 - 16,0"," ")</f>
        <v> </v>
      </c>
      <c r="G14" s="134" t="str">
        <f>IF(AND($L$10&lt;16.01,$L$10&gt;12.69,C14&gt;3),((((L10/S3)/100)-1%)*100)," ")</f>
        <v> </v>
      </c>
      <c r="H14" s="49" t="str">
        <f>IF(AND($H$12=1,C14&gt;3),"-----"," ")</f>
        <v> </v>
      </c>
      <c r="I14" s="49" t="str">
        <f>IF(AND($I$12=1,C14&gt;3),C14*K42*L1," ")</f>
        <v> </v>
      </c>
      <c r="J14" s="49" t="str">
        <f>IF(AND($J$12=1,C14&gt;3),"-----"," ")</f>
        <v> </v>
      </c>
      <c r="K14" s="153" t="str">
        <f>IF(AND($J$12=1,C14&gt;3),C14*K60*$L$1," ")</f>
        <v> </v>
      </c>
      <c r="L14" s="47"/>
      <c r="M14" s="48"/>
      <c r="N14" s="16">
        <v>410</v>
      </c>
      <c r="O14" s="16">
        <v>67.6</v>
      </c>
      <c r="P14" s="16">
        <v>36</v>
      </c>
      <c r="Q14" s="16"/>
      <c r="R14" s="16">
        <v>68</v>
      </c>
      <c r="S14" s="16">
        <v>36.5</v>
      </c>
      <c r="T14" s="12"/>
      <c r="U14" s="105"/>
      <c r="V14" s="12"/>
      <c r="W14" s="12"/>
    </row>
    <row r="15" spans="1:23" ht="21" customHeight="1">
      <c r="A15" s="45" t="str">
        <f>IF(AND(L10&lt;20.01,L10&gt;15.99),L11/25.1," ")</f>
        <v> </v>
      </c>
      <c r="B15" s="45"/>
      <c r="C15" s="130" t="str">
        <f>IF(AND(L10&lt;20.01,L10&gt;15.99,A15&gt;3,H11&lt;91),L11/25.1," ")</f>
        <v> </v>
      </c>
      <c r="D15" s="131" t="str">
        <f>IF(AND(L10&lt;20.01,L10&gt;15.99,C15&gt;3),"Elemente LS 275"," ")</f>
        <v> </v>
      </c>
      <c r="E15" s="132" t="str">
        <f>IF(AND(L10&lt;20.01,L10&gt;15.99,C15&gt;3),(U43*A15)/3.14+P5," ")</f>
        <v> </v>
      </c>
      <c r="F15" s="133" t="str">
        <f>IF(AND($L$10&lt;20.01,$L$10&gt;15.99,C15&gt;3),"16,0 - 20,0"," ")</f>
        <v> </v>
      </c>
      <c r="G15" s="134" t="str">
        <f>IF(AND($L$10&lt;20.01,$L$10&gt;15.99,C15&gt;3),((((L10/S5)/100)-1%)*100)," ")</f>
        <v> </v>
      </c>
      <c r="H15" s="49" t="str">
        <f>IF(AND($H$12=1,C15&gt;3),"-----"," ")</f>
        <v> </v>
      </c>
      <c r="I15" s="49" t="str">
        <f>IF(AND($I$12=1,C15&gt;3),C15*K43*L1," ")</f>
        <v> </v>
      </c>
      <c r="J15" s="49" t="str">
        <f>IF(AND($J$12=1,C15&gt;3),"-----"," ")</f>
        <v> </v>
      </c>
      <c r="K15" s="153" t="str">
        <f>IF(AND($J$12=1,C15&gt;3),C15*K61*$L$1," ")</f>
        <v> </v>
      </c>
      <c r="L15" s="47"/>
      <c r="M15" s="48"/>
      <c r="N15" s="16">
        <v>425</v>
      </c>
      <c r="O15" s="16">
        <v>93.1</v>
      </c>
      <c r="P15" s="16">
        <v>26.9</v>
      </c>
      <c r="Q15" s="16"/>
      <c r="R15" s="16">
        <v>93</v>
      </c>
      <c r="S15" s="16">
        <v>28.6</v>
      </c>
      <c r="T15" s="12"/>
      <c r="U15" s="105"/>
      <c r="V15" s="12"/>
      <c r="W15" s="12"/>
    </row>
    <row r="16" spans="1:23" ht="21" customHeight="1" hidden="1">
      <c r="A16" s="45">
        <f>IF(AND(L10&lt;22.51,L10&gt;17.99),L11/40.1," ")</f>
        <v>30</v>
      </c>
      <c r="B16" s="45"/>
      <c r="C16" s="103">
        <f>IF(AND(L10&lt;22.51,L10&gt;17.99,A16&gt;4,H11&gt;44.49,H11&lt;406.5),L11/40.1," ")</f>
        <v>30</v>
      </c>
      <c r="D16" s="42" t="str">
        <f>IF(AND(L10&lt;22.51,L10&gt;17.99,C16&gt;4),"Elemente LS 300"," ")</f>
        <v>Elemente LS 300</v>
      </c>
      <c r="E16" s="46">
        <f>IF(AND(L10&lt;22.51,L10&gt;17.99,C16&gt;4),(U44*A16)/3.14+P6," ")</f>
        <v>400.52</v>
      </c>
      <c r="F16" s="133" t="str">
        <f>IF(AND($L$10&lt;21.01,$L$10&gt;17.49,C16&gt;4),"17,5 - 21,0"," ")</f>
        <v> </v>
      </c>
      <c r="G16" s="134" t="str">
        <f>IF(AND($L$10&lt;21.01,$L$10&gt;17.49,C16&gt;4),((((L7/S5)/100)-1%)*100)," ")</f>
        <v> </v>
      </c>
      <c r="H16" s="47" t="str">
        <f>IF(AND($H$12=1,C16&gt;3),C16*D44*L1," ")</f>
        <v> </v>
      </c>
      <c r="I16" s="47">
        <f>IF(AND($I$12=1,C16&gt;3),C16*K44*L1," ")</f>
        <v>105.6</v>
      </c>
      <c r="J16" s="47" t="str">
        <f>IF(AND($J$12=1,C16&gt;3),C16*I44*L1," ")</f>
        <v> </v>
      </c>
      <c r="K16" s="153" t="str">
        <f aca="true" t="shared" si="0" ref="K16:K31">IF(AND($J$12=1,C16&gt;3),C16*K61*$L$1," ")</f>
        <v> </v>
      </c>
      <c r="L16" s="47"/>
      <c r="M16" s="48"/>
      <c r="N16" s="16">
        <v>475</v>
      </c>
      <c r="O16" s="16">
        <v>68.3</v>
      </c>
      <c r="P16" s="16">
        <v>39.7</v>
      </c>
      <c r="Q16" s="16"/>
      <c r="R16" s="16">
        <v>68</v>
      </c>
      <c r="S16" s="16">
        <v>41.3</v>
      </c>
      <c r="T16" s="12"/>
      <c r="U16" s="105"/>
      <c r="V16" s="12"/>
      <c r="W16" s="12"/>
    </row>
    <row r="17" spans="1:23" ht="21" customHeight="1">
      <c r="A17" s="45" t="str">
        <f>IF(AND(L10&lt;21.01,L10&gt;17.49),L11/40.5," ")</f>
        <v> </v>
      </c>
      <c r="B17" s="45"/>
      <c r="C17" s="130" t="str">
        <f>IF(AND(L10&lt;21.01,L10&gt;17.49,A17&gt;4,H11&gt;44.49,H11&lt;406.5),L11/40.5," ")</f>
        <v> </v>
      </c>
      <c r="D17" s="131" t="str">
        <f>IF(AND(L10&lt;21.01,L10&gt;17.49,C17&gt;4),"Elemente S-LS 300"," ")</f>
        <v> </v>
      </c>
      <c r="E17" s="132" t="str">
        <f>IF(AND(L10&lt;21.01,L10&gt;17.49,C17&gt;4),(R6*A17)/3.14+S6," ")</f>
        <v> </v>
      </c>
      <c r="F17" s="133" t="str">
        <f>IF(AND($L$10&lt;21.01,$L$10&gt;17.49,C17&gt;4),"17,5 - 21,0"," ")</f>
        <v> </v>
      </c>
      <c r="G17" s="134" t="str">
        <f>IF(AND($L$10&lt;21.01,$L$10&gt;17.49,C17&gt;4),((((L10/S6)/100)-1%)*100)," ")</f>
        <v> </v>
      </c>
      <c r="H17" s="49" t="str">
        <f>IF(AND($H$12=1,C17&gt;3),C17*D62*L1," ")</f>
        <v> </v>
      </c>
      <c r="I17" s="49" t="str">
        <f>IF(AND($I$12=1,C17&gt;3),"----"," ")</f>
        <v> </v>
      </c>
      <c r="J17" s="49" t="str">
        <f>IF(AND($J$12=1,C17&gt;3),C17*I62*L1," ")</f>
        <v> </v>
      </c>
      <c r="K17" s="153" t="str">
        <f t="shared" si="0"/>
        <v> </v>
      </c>
      <c r="L17" s="49"/>
      <c r="M17" s="50"/>
      <c r="N17" s="51">
        <v>440</v>
      </c>
      <c r="O17" s="51">
        <v>99</v>
      </c>
      <c r="P17" s="51">
        <v>44</v>
      </c>
      <c r="Q17" s="16"/>
      <c r="R17" s="51">
        <v>99</v>
      </c>
      <c r="S17" s="51">
        <v>44</v>
      </c>
      <c r="T17" s="12"/>
      <c r="U17" s="105"/>
      <c r="V17" s="12"/>
      <c r="W17" s="12"/>
    </row>
    <row r="18" spans="1:23" ht="21" customHeight="1">
      <c r="A18" s="45">
        <f>IF(AND(L10&lt;24.01,L10&gt;20.09),L11/37," ")</f>
        <v>32</v>
      </c>
      <c r="B18" s="45"/>
      <c r="C18" s="127" t="str">
        <f>IF(AND(L10&lt;24.01,L10&gt;20.09,A18&gt;4,H11&gt;36.99,H11&lt;350.1),L11/37," ")</f>
        <v> </v>
      </c>
      <c r="D18" s="2" t="str">
        <f>IF(AND(L10&lt;24.01,L10&gt;20.09,C18&gt;4),"Elemente S-LS 315"," ")</f>
        <v> </v>
      </c>
      <c r="E18" s="128" t="str">
        <f>IF(AND(L10&lt;24.01,L10&gt;20.09,C18&gt;4),(R7*A18)/3.14+S7," ")</f>
        <v> </v>
      </c>
      <c r="F18" s="126" t="str">
        <f>IF(AND($L$10&lt;24.01,$L$10&gt;20.09,C18&gt;4),"20,1 - 24,0"," ")</f>
        <v> </v>
      </c>
      <c r="G18" s="129" t="str">
        <f>IF(AND($L$10&lt;26.01,$L$10&gt;21.01,C18&gt;4),((((L10/S7)/100)-1%)*100)," ")</f>
        <v> </v>
      </c>
      <c r="H18" s="47" t="str">
        <f>IF(AND($H$12=1,C18&gt;3),C18*D63*L1," ")</f>
        <v> </v>
      </c>
      <c r="I18" s="47" t="str">
        <f>IF(AND($I$12=1,C18&gt;3),"----"," ")</f>
        <v> </v>
      </c>
      <c r="J18" s="47" t="str">
        <f>IF(AND($J$12=1,C18&gt;3),C18*I63*L1," ")</f>
        <v> </v>
      </c>
      <c r="K18" s="153" t="str">
        <f t="shared" si="0"/>
        <v> </v>
      </c>
      <c r="L18" s="47"/>
      <c r="M18" s="48"/>
      <c r="N18" s="16">
        <v>500</v>
      </c>
      <c r="O18" s="16"/>
      <c r="P18" s="16"/>
      <c r="Q18" s="16"/>
      <c r="R18" s="16">
        <v>99</v>
      </c>
      <c r="S18" s="16">
        <v>61</v>
      </c>
      <c r="T18" s="12"/>
      <c r="U18" s="105"/>
      <c r="V18" s="12"/>
      <c r="W18" s="12"/>
    </row>
    <row r="19" spans="1:23" ht="21" customHeight="1">
      <c r="A19" s="45" t="str">
        <f>IF(AND($L$10&lt;29.01,$L$10&gt;23.99),$L$11/79," ")</f>
        <v> </v>
      </c>
      <c r="B19" s="45"/>
      <c r="C19" s="130" t="str">
        <f>IF(AND($L$10&lt;29.01,$L$10&gt;23.99,A19&gt;5,$H$11&gt;88.89,$H$11&lt;711.1),$L$11/79," ")</f>
        <v> </v>
      </c>
      <c r="D19" s="131" t="str">
        <f>IF(AND(L10&lt;29.01,L10&gt;23.99,C19&gt;5),"Elemente S-LS 325"," ")</f>
        <v> </v>
      </c>
      <c r="E19" s="132" t="str">
        <f>IF(AND($L$10&lt;29.01,$L$10&gt;23.99,C19&gt;5),(R10*A19)/3.14+S10," ")</f>
        <v> </v>
      </c>
      <c r="F19" s="133" t="str">
        <f>IF(AND($L$10&lt;29.01,$L$10&gt;23.99,C19&gt;5),"24,0 - 29,0"," ")</f>
        <v> </v>
      </c>
      <c r="G19" s="134" t="str">
        <f>IF(AND($L$10&lt;29.01,$L$10&gt;23.99,C19&gt;5),((((L10/S10)/100)-1%)*100)," ")</f>
        <v> </v>
      </c>
      <c r="H19" s="49" t="str">
        <f>IF(AND($H$12=1,C19&gt;5),C19*D64*L1," ")</f>
        <v> </v>
      </c>
      <c r="I19" s="49" t="str">
        <f>IF(AND($I$12=1,C19&gt;5),"----"," ")</f>
        <v> </v>
      </c>
      <c r="J19" s="49" t="str">
        <f>IF(AND($J$12=1,C19&gt;5),C19*I64*L1," ")</f>
        <v> </v>
      </c>
      <c r="K19" s="153" t="str">
        <f t="shared" si="0"/>
        <v> </v>
      </c>
      <c r="L19" s="49"/>
      <c r="M19" s="50"/>
      <c r="N19" s="16">
        <v>525</v>
      </c>
      <c r="O19" s="16"/>
      <c r="P19" s="16"/>
      <c r="Q19" s="16"/>
      <c r="R19" s="16">
        <v>99</v>
      </c>
      <c r="S19" s="16">
        <v>53</v>
      </c>
      <c r="T19" s="12"/>
      <c r="U19" s="105"/>
      <c r="V19" s="12"/>
      <c r="W19" s="12"/>
    </row>
    <row r="20" spans="1:23" ht="21" customHeight="1">
      <c r="A20" s="45" t="str">
        <f>IF(AND($L$10&lt;30.01,$L$10&gt;24.49),$L$11/42," ")</f>
        <v> </v>
      </c>
      <c r="B20" s="45"/>
      <c r="C20" s="130" t="str">
        <f>IF(AND($L$10&lt;30.01,$L$10&gt;24.49,A20&gt;3,$H$11&gt;13.99,$H$11&lt;323.91),$L$11/42," ")</f>
        <v> </v>
      </c>
      <c r="D20" s="131" t="str">
        <f>IF(AND(L10&lt;30.01,L10&gt;24.49,C20&gt;3),"Elemente S-LS 340"," ")</f>
        <v> </v>
      </c>
      <c r="E20" s="132" t="str">
        <f>IF(AND($L$10&lt;30.01,$L$10&gt;24.49,C20&gt;3),(R11*A20)/3.14+S11," ")</f>
        <v> </v>
      </c>
      <c r="F20" s="133" t="str">
        <f>IF(AND($L$10&lt;30.01,$L$10&gt;24.49,C20&gt;3),"24,5 - 30,0"," ")</f>
        <v> </v>
      </c>
      <c r="G20" s="134" t="str">
        <f>IF(AND($L$10&lt;30.01,$L$10&gt;24.49,C20&gt;3),((((L10/S11)/100)-1%)*100)," ")</f>
        <v> </v>
      </c>
      <c r="H20" s="49" t="str">
        <f>IF(AND($H$12=1,C20&gt;3),C20*D65*L1," ")</f>
        <v> </v>
      </c>
      <c r="I20" s="49" t="str">
        <f>IF(AND($I$12=1,C20&gt;3),"----"," ")</f>
        <v> </v>
      </c>
      <c r="J20" s="49" t="str">
        <f>IF(AND($J$12=1,C20&gt;3),C20*I65*L1," ")</f>
        <v> </v>
      </c>
      <c r="K20" s="153" t="str">
        <f t="shared" si="0"/>
        <v> </v>
      </c>
      <c r="L20" s="49"/>
      <c r="M20" s="50"/>
      <c r="N20" s="16">
        <v>575</v>
      </c>
      <c r="O20" s="16"/>
      <c r="P20" s="16"/>
      <c r="Q20" s="16"/>
      <c r="R20" s="16">
        <v>79</v>
      </c>
      <c r="S20" s="16">
        <v>48</v>
      </c>
      <c r="T20" s="12"/>
      <c r="U20" s="105"/>
      <c r="V20" s="12"/>
      <c r="W20" s="12"/>
    </row>
    <row r="21" spans="1:23" ht="21" customHeight="1">
      <c r="A21" s="45" t="str">
        <f>IF(AND($L$10&lt;37.01,$L$10&gt;31.49),$L$11/55.5," ")</f>
        <v> </v>
      </c>
      <c r="B21" s="45"/>
      <c r="C21" s="136" t="str">
        <f>IF(AND($L$10&lt;37.01,$L$10&gt;31.49,A21&gt;3,$H$11&gt;15.99,$H$11&lt;406.41),$L$11/55.5," ")</f>
        <v> </v>
      </c>
      <c r="D21" s="131" t="str">
        <f>IF(AND(L10&lt;37.01,L10&gt;31.49,C21&gt;3),"Elemente S-LS 360"," ")</f>
        <v> </v>
      </c>
      <c r="E21" s="132" t="str">
        <f>IF(AND($L$10&lt;37.01,$L$10&gt;31.49,C21&gt;3),(R12*A21)/3.14+S12," ")</f>
        <v> </v>
      </c>
      <c r="F21" s="133" t="str">
        <f>IF(AND($L$10&lt;37.01,$L$10&gt;31.49,C21&gt;3),"31,5 - 37,0"," ")</f>
        <v> </v>
      </c>
      <c r="G21" s="134" t="str">
        <f>IF(AND($L$10&lt;37.01,$L$10&gt;31.49,C21&gt;3),((((L10/S12)/100)-1%)*100)," ")</f>
        <v> </v>
      </c>
      <c r="H21" s="49" t="str">
        <f>IF(AND($H$12=1,C21&gt;3),C21*D66*L1," ")</f>
        <v> </v>
      </c>
      <c r="I21" s="49" t="str">
        <f>IF(AND($I$12=1,C21&gt;3),"----"," ")</f>
        <v> </v>
      </c>
      <c r="J21" s="49" t="str">
        <f>IF(AND($J$12=1,C21&gt;3),C21*I66*L1," ")</f>
        <v> </v>
      </c>
      <c r="K21" s="153" t="str">
        <f t="shared" si="0"/>
        <v> </v>
      </c>
      <c r="L21" s="49"/>
      <c r="M21" s="50"/>
      <c r="N21" s="16">
        <v>650</v>
      </c>
      <c r="O21" s="51">
        <v>104</v>
      </c>
      <c r="P21" s="51">
        <v>69</v>
      </c>
      <c r="Q21" s="16"/>
      <c r="R21" s="51">
        <v>106.7</v>
      </c>
      <c r="S21" s="51">
        <v>69</v>
      </c>
      <c r="T21" s="12"/>
      <c r="U21" s="105"/>
      <c r="V21" s="12"/>
      <c r="W21" s="12"/>
    </row>
    <row r="22" spans="1:23" ht="21" customHeight="1">
      <c r="A22" s="45" t="str">
        <f>IF(AND(L10&lt;42.01,L10&gt;35.49),L11/93," ")</f>
        <v> </v>
      </c>
      <c r="B22" s="52" t="str">
        <f>IF(AND($L10&lt;42.01,$L10&gt;35.49,$A22&gt;5),($R13*$A22)/3.14+$S13," ")</f>
        <v> </v>
      </c>
      <c r="C22" s="136" t="str">
        <f>IF(AND(B22&lt;H10+3,L10&lt;42.01,L10&gt;35.49,A22&gt;5,H11&gt;139.69,H11&lt;1220.1),L11/93," ")</f>
        <v> </v>
      </c>
      <c r="D22" s="131" t="str">
        <f>IF(AND(B22&lt;H10+3,L10&lt;42.01,L10&gt;35.49,C22&gt;5),"Elemente S-LS 400"," ")</f>
        <v> </v>
      </c>
      <c r="E22" s="132" t="str">
        <f>IF(AND(B22&lt;H10+3,$L10&lt;42.01,$L10&gt;35.49,$C22&gt;5),($R13*$A22)/3.14+$S13," ")</f>
        <v> </v>
      </c>
      <c r="F22" s="133" t="str">
        <f>IF(AND($L$10&lt;42.01,$L$10&gt;35.49,C22&gt;5),"35,5 - 42,0"," ")</f>
        <v> </v>
      </c>
      <c r="G22" s="134" t="str">
        <f>IF(AND($L$10&lt;42.01,$L$10&gt;35.49,C22&gt;5),((((L10/S13)/100)-1%)*100)," ")</f>
        <v> </v>
      </c>
      <c r="H22" s="49" t="str">
        <f>IF(AND($H$12=1,C22&gt;5),C22*D67*L1," ")</f>
        <v> </v>
      </c>
      <c r="I22" s="49" t="str">
        <f>IF(AND($I$12=1,C22&gt;3),"----"," ")</f>
        <v> </v>
      </c>
      <c r="J22" s="49" t="str">
        <f>IF(AND($J$12=1,C22&gt;3),C22*I67*L1," ")</f>
        <v> </v>
      </c>
      <c r="K22" s="153" t="str">
        <f t="shared" si="0"/>
        <v> </v>
      </c>
      <c r="L22" s="49"/>
      <c r="M22" s="50"/>
      <c r="N22" s="16">
        <v>625</v>
      </c>
      <c r="O22" s="16"/>
      <c r="P22" s="16"/>
      <c r="Q22" s="16"/>
      <c r="R22" s="16">
        <v>106.7</v>
      </c>
      <c r="S22" s="16">
        <v>83</v>
      </c>
      <c r="T22" s="12"/>
      <c r="U22" s="105"/>
      <c r="V22" s="12"/>
      <c r="W22" s="12"/>
    </row>
    <row r="23" spans="1:23" ht="21" customHeight="1">
      <c r="A23" s="45" t="str">
        <f>IF(AND($L$10&lt;42.51,$L$10&gt;36.49),$L$11/68," ")</f>
        <v> </v>
      </c>
      <c r="B23" s="52" t="str">
        <f>IF(AND($L$10&lt;42.51,$L$10&gt;36.49,$A23&gt;3),($R14*$A23)/3.14+$S14," ")</f>
        <v> </v>
      </c>
      <c r="C23" s="136" t="str">
        <f>IF(AND(B23&lt;H10+3,$L$10&lt;42.51,$L$10&gt;36.49,A23&gt;3,$H$11&gt;44.49,$H$11&lt;323.91),$L$11/68," ")</f>
        <v> </v>
      </c>
      <c r="D23" s="131" t="str">
        <f>IF(AND(B23&lt;H10+3,L10&lt;42.51,L10&gt;36.49,C23&gt;3),"Elemente S-LS 410"," ")</f>
        <v> </v>
      </c>
      <c r="E23" s="132" t="str">
        <f>IF(AND(B23&lt;H10+3,$L$10&lt;42.51,$L$10&gt;36.49,$C23&gt;3),($R14*$A23)/3.14+$S14," ")</f>
        <v> </v>
      </c>
      <c r="F23" s="133" t="str">
        <f>IF(AND($L$10&lt;42.51,$L$10&gt;36.49,C23&gt;3),"36,5 - 42,5"," ")</f>
        <v> </v>
      </c>
      <c r="G23" s="134" t="str">
        <f>IF(AND($L$10&lt;42.51,$L$10&gt;36.49,C23&gt;3),((((L10/S14)/100)-1%)*100)," ")</f>
        <v> </v>
      </c>
      <c r="H23" s="49" t="str">
        <f>IF(AND($H$12=1,C23&gt;3),C23*D68*L1," ")</f>
        <v> </v>
      </c>
      <c r="I23" s="49" t="str">
        <f>IF(AND($I$12=1,C23&gt;3),"----"," ")</f>
        <v> </v>
      </c>
      <c r="J23" s="49" t="str">
        <f>IF(AND($J$12=1,C23&gt;3),C23*I68*L1," ")</f>
        <v> </v>
      </c>
      <c r="K23" s="153" t="str">
        <f t="shared" si="0"/>
        <v> </v>
      </c>
      <c r="L23" s="49"/>
      <c r="M23" s="50"/>
      <c r="N23" s="16"/>
      <c r="O23" s="16"/>
      <c r="P23" s="16"/>
      <c r="Q23" s="16"/>
      <c r="R23" s="16"/>
      <c r="S23" s="16"/>
      <c r="T23" s="12"/>
      <c r="U23" s="105"/>
      <c r="V23" s="12"/>
      <c r="W23" s="12"/>
    </row>
    <row r="24" spans="1:23" ht="21" customHeight="1">
      <c r="A24" s="45" t="str">
        <f>IF(AND(L10&lt;34.11,L10&gt;28.59),L11/93," ")</f>
        <v> </v>
      </c>
      <c r="B24" s="52" t="str">
        <f>IF(AND($L10&lt;34.11,$L10&gt;28.59,$A24&gt;5),($R15*$A24)/3.14+$S15," ")</f>
        <v> </v>
      </c>
      <c r="C24" s="130" t="str">
        <f>IF(AND(B24&lt;H10+3,L10&lt;34.11,L10&gt;28.59,A24&gt;5,H11&gt;133.99,H11&lt;1220.1),L11/93," ")</f>
        <v> </v>
      </c>
      <c r="D24" s="131" t="str">
        <f>IF(AND(B24&lt;H10+3,L10&lt;34.11,L10&gt;28.59,C24&gt;5),"Elemente S-LS 425"," ")</f>
        <v> </v>
      </c>
      <c r="E24" s="132" t="str">
        <f>IF(AND(B24&lt;H10+3,$L10&lt;34.11,$L10&gt;28.59,$C24&gt;5),($R15*$A24)/3.14+$S15," ")</f>
        <v> </v>
      </c>
      <c r="F24" s="133" t="str">
        <f>IF(AND($L$10&lt;34.01,$L$10&gt;28.59,C24&gt;5),"28,6 - 34,0"," ")</f>
        <v> </v>
      </c>
      <c r="G24" s="134" t="str">
        <f>IF(AND($L$10&lt;34.01,$L$10&gt;28.59,C24&gt;5),((((L10/S15)/100)-1%)*100)," ")</f>
        <v> </v>
      </c>
      <c r="H24" s="49" t="str">
        <f>IF(AND($H$12=1,C24&gt;5),C24*D69*L1," ")</f>
        <v> </v>
      </c>
      <c r="I24" s="49" t="str">
        <f>IF(AND($I$12=1,C24&gt;5),"----"," ")</f>
        <v> </v>
      </c>
      <c r="J24" s="49" t="str">
        <f>IF(AND($J$12=1,C24&gt;5),C24*I69*L1," ")</f>
        <v> </v>
      </c>
      <c r="K24" s="153" t="str">
        <f t="shared" si="0"/>
        <v> </v>
      </c>
      <c r="L24" s="49"/>
      <c r="M24" s="50"/>
      <c r="N24" s="147"/>
      <c r="O24" s="147"/>
      <c r="P24" s="147"/>
      <c r="Q24" s="147"/>
      <c r="R24" s="147"/>
      <c r="S24" s="147"/>
      <c r="T24" s="105"/>
      <c r="U24" s="105"/>
      <c r="V24" s="12"/>
      <c r="W24" s="12"/>
    </row>
    <row r="25" spans="1:23" ht="21" customHeight="1">
      <c r="A25" s="45" t="str">
        <f>IF(AND(L10&lt;50.51,L10&gt;43.99),L11/99," ")</f>
        <v> </v>
      </c>
      <c r="B25" s="52" t="str">
        <f>IF(AND($L10&lt;50.61,$L10&gt;43.99,$A25&gt;4),($R17*$A25)/3.14+$S17," ")</f>
        <v> </v>
      </c>
      <c r="C25" s="130" t="str">
        <f>IF(AND(B25&lt;H10+3,L10&lt;55.01,L10&gt;43.99,A25&gt;4,H11&gt;99.99,H11&lt;1220.1),L11/99," ")</f>
        <v> </v>
      </c>
      <c r="D25" s="131" t="str">
        <f>IF(AND(B25&lt;H10+3,L10&lt;50.51,L10&gt;43.99,C25&gt;4),"Elemente S-LS 440"," ")</f>
        <v> </v>
      </c>
      <c r="E25" s="132" t="str">
        <f>IF(AND(B25&lt;H10+3,$L10&lt;50.51,$L10&gt;43.99,$C25&gt;4),($R17*$A25)/3.14+$S17," ")</f>
        <v> </v>
      </c>
      <c r="F25" s="133" t="str">
        <f>IF(AND($L$10&lt;50.51,$L$10&gt;43.99,C25&gt;4),"44,0 - 50,5"," ")</f>
        <v> </v>
      </c>
      <c r="G25" s="134" t="str">
        <f>IF(AND($L$10&lt;50.51,$L$10&gt;43.99,C25&gt;4),((((L10/S17)/100)-1%)*100)," ")</f>
        <v> </v>
      </c>
      <c r="H25" s="49" t="str">
        <f>IF(AND($H$12=1,C25&gt;4),C25*D70*L1," ")</f>
        <v> </v>
      </c>
      <c r="I25" s="49" t="str">
        <f>IF(AND($I$12=1,C25&gt;4),"---"," ")</f>
        <v> </v>
      </c>
      <c r="J25" s="49" t="str">
        <f>IF(AND($J$12=1,C25&gt;4),C25*I70*L1," ")</f>
        <v> </v>
      </c>
      <c r="K25" s="153" t="str">
        <f t="shared" si="0"/>
        <v> </v>
      </c>
      <c r="L25" s="49"/>
      <c r="M25" s="50"/>
      <c r="N25" s="147"/>
      <c r="O25" s="147"/>
      <c r="P25" s="147"/>
      <c r="Q25" s="147"/>
      <c r="R25" s="147"/>
      <c r="S25" s="147"/>
      <c r="T25" s="105"/>
      <c r="U25" s="105"/>
      <c r="V25" s="12"/>
      <c r="W25" s="12"/>
    </row>
    <row r="26" spans="1:23" ht="21" customHeight="1">
      <c r="A26" s="45" t="str">
        <f>IF(AND(L10&lt;45.51,L10&gt;41.29),L11/68," ")</f>
        <v> </v>
      </c>
      <c r="B26" s="52" t="str">
        <f>IF(AND($L10&lt;45.51,$L10&gt;41.29,$A26&gt;4),($R16*$A26)/3.14+$S16," ")</f>
        <v> </v>
      </c>
      <c r="C26" s="130" t="str">
        <f>IF(AND(B26&lt;H10+3,L10&lt;45.51,L10&gt;41.29,A26&gt;4,H11&gt;33.6,H11&lt;1220.1),L11/68," ")</f>
        <v> </v>
      </c>
      <c r="D26" s="131" t="str">
        <f>IF(AND(B26&lt;H10+3,L10&lt;45.51,L10&gt;41.29,C26&gt;4),"Elemente S-LS 475 "," ")</f>
        <v> </v>
      </c>
      <c r="E26" s="132" t="str">
        <f>IF(AND(B26&lt;H10+3,$L10&lt;45.51,$L10&gt;41.29,$C26&gt;4),($R16*$A26)/3.14+$S16," ")</f>
        <v> </v>
      </c>
      <c r="F26" s="133" t="str">
        <f>IF(AND($L$10&lt;45.51,$L$10&gt;41.29,C26&gt;4),"41,3 - 45,5"," ")</f>
        <v> </v>
      </c>
      <c r="G26" s="134" t="str">
        <f>IF(AND($L$10&lt;45.51,$L$10&gt;41.29,C26&gt;4),((((L10/S16)/100)-1%)*100)," ")</f>
        <v> </v>
      </c>
      <c r="H26" s="49" t="str">
        <f>IF(AND($H$12=1,C26&gt;4),C26*D71*L1," ")</f>
        <v> </v>
      </c>
      <c r="I26" s="49" t="str">
        <f>IF(AND($I$12=1,C26&gt;4),"----"," ")</f>
        <v> </v>
      </c>
      <c r="J26" s="49" t="str">
        <f>IF(AND($J$12=1,C26&gt;4),C26*I71*L1," ")</f>
        <v> </v>
      </c>
      <c r="K26" s="153" t="str">
        <f t="shared" si="0"/>
        <v> </v>
      </c>
      <c r="L26" s="49"/>
      <c r="M26" s="50"/>
      <c r="N26" s="16"/>
      <c r="O26" s="16"/>
      <c r="P26" s="16"/>
      <c r="Q26" s="147"/>
      <c r="R26" s="147"/>
      <c r="S26" s="147"/>
      <c r="T26" s="105"/>
      <c r="U26" s="105"/>
      <c r="V26" s="12"/>
      <c r="W26" s="12"/>
    </row>
    <row r="27" spans="1:23" ht="21" customHeight="1">
      <c r="A27" s="45" t="str">
        <f>IF(AND(L10&lt;67.01,L10&gt;60.99),L11/99," ")</f>
        <v> </v>
      </c>
      <c r="B27" s="52" t="str">
        <f>IF(AND($L10&lt;67.01,$L10&gt;60.99,$A27&gt;4),(R18*$A27)/3.14+S18," ")</f>
        <v> </v>
      </c>
      <c r="C27" s="130" t="str">
        <f>IF(AND(B27&lt;H10+4,L10&lt;67.01,L10&gt;60.99,A27&gt;4,H11&gt;82.4,H11&lt;1220.1),L11/99," ")</f>
        <v> </v>
      </c>
      <c r="D27" s="131" t="str">
        <f>IF(AND(B27&lt;H10+4,L10&lt;67.01,L10&gt;60.99,C27&gt;4),"Elemente S-LS 500"," ")</f>
        <v> </v>
      </c>
      <c r="E27" s="132" t="str">
        <f>IF(AND(B27&lt;H10+4,$L10&lt;67.01,$L10&gt;60.99,$C27&gt;4),(R18*$A27)/3.14+S18," ")</f>
        <v> </v>
      </c>
      <c r="F27" s="133" t="str">
        <f>IF(AND($L$10&lt;67.01,$L$10&gt;60.99,C27&gt;4),"61,0 - 67,0"," ")</f>
        <v> </v>
      </c>
      <c r="G27" s="134" t="str">
        <f>IF(AND($L$10&lt;67.01,$L$10&gt;60.99,C27&gt;4),((((L10/S18)/100)-1%)*100)," ")</f>
        <v> </v>
      </c>
      <c r="H27" s="49" t="str">
        <f>IF(AND($H$12=1,C27&gt;4),C27*D72*L1," ")</f>
        <v> </v>
      </c>
      <c r="I27" s="49" t="str">
        <f>IF(AND($I$12=1,C27&gt;4),"----"," ")</f>
        <v> </v>
      </c>
      <c r="J27" s="49" t="str">
        <f>IF(AND($J$12=1,C27&gt;4),C27*I72*L1," ")</f>
        <v> </v>
      </c>
      <c r="K27" s="153" t="str">
        <f t="shared" si="0"/>
        <v> </v>
      </c>
      <c r="L27" s="49"/>
      <c r="M27" s="50"/>
      <c r="N27" s="16"/>
      <c r="O27" s="16"/>
      <c r="P27" s="16"/>
      <c r="Q27" s="147"/>
      <c r="R27" s="147"/>
      <c r="S27" s="147"/>
      <c r="T27" s="105"/>
      <c r="U27" s="105"/>
      <c r="V27" s="12"/>
      <c r="W27" s="12"/>
    </row>
    <row r="28" spans="1:23" ht="21" customHeight="1">
      <c r="A28" s="45" t="str">
        <f>IF(AND(L10&lt;58.01,L10&gt;52.99),L11/99," ")</f>
        <v> </v>
      </c>
      <c r="B28" s="52" t="str">
        <f>IF(AND($L10&lt;58.01,$L10&gt;52.99,$A28&gt;5),(R19*$A28)/3.14+S19," ")</f>
        <v> </v>
      </c>
      <c r="C28" s="130" t="str">
        <f>IF(AND(B28&lt;H10+4,L10&lt;58.01,L10&gt;52.99,A28&gt;5,H11&gt;132.99,H11&lt;1220.1),L11/99," ")</f>
        <v> </v>
      </c>
      <c r="D28" s="131" t="str">
        <f>IF(AND(B28&lt;H10+4,L10&lt;58.01,L10&gt;52.99,C28&gt;5),"Elemente S-LS 525"," ")</f>
        <v> </v>
      </c>
      <c r="E28" s="132" t="str">
        <f>IF(AND(B28&lt;H10+4,$L10&lt;58.01,$L10&gt;52.99,$C28&gt;5),(R19*$A28)/3.14+S19," ")</f>
        <v> </v>
      </c>
      <c r="F28" s="133" t="str">
        <f>IF(AND($L$10&lt;58.01,$L$10&gt;52.99,C28&gt;5),"53,0 - 58,0"," ")</f>
        <v> </v>
      </c>
      <c r="G28" s="134" t="str">
        <f>IF(AND($L$10&lt;58.01,$L$10&gt;52.99,C28&gt;5),((((L10/S19)/100)-1%)*100)," ")</f>
        <v> </v>
      </c>
      <c r="H28" s="49" t="str">
        <f>IF(AND($H$12=1,C28&gt;5),C28*D73*L1," ")</f>
        <v> </v>
      </c>
      <c r="I28" s="49" t="str">
        <f>IF(AND($I$12=1,C28&gt;5),"----"," ")</f>
        <v> </v>
      </c>
      <c r="J28" s="49" t="str">
        <f>IF(AND($J$12=1,C28&gt;5),C28*I73*L1," ")</f>
        <v> </v>
      </c>
      <c r="K28" s="153" t="str">
        <f t="shared" si="0"/>
        <v> </v>
      </c>
      <c r="L28" s="49"/>
      <c r="M28" s="50"/>
      <c r="N28" s="16"/>
      <c r="O28" s="16"/>
      <c r="P28" s="16"/>
      <c r="Q28" s="147"/>
      <c r="R28" s="147"/>
      <c r="S28" s="147"/>
      <c r="T28" s="105"/>
      <c r="U28" s="105"/>
      <c r="V28" s="12"/>
      <c r="W28" s="12"/>
    </row>
    <row r="29" spans="1:23" ht="21" customHeight="1">
      <c r="A29" s="45" t="str">
        <f>IF(AND(L10&lt;54.01,L10&gt;47.99),L11/79," ")</f>
        <v> </v>
      </c>
      <c r="B29" s="52" t="str">
        <f>IF(AND($L10&lt;54.01,$L10&gt;47.99,$A29&gt;5),(R20*$A29)/3.14+S20," ")</f>
        <v> </v>
      </c>
      <c r="C29" s="130" t="str">
        <f>IF(AND(B29&lt;H10+4,L10&lt;54.01,L10&gt;47.99,A29&gt;5,H11&gt;89.9,H11&lt;1220.1),L11/79," ")</f>
        <v> </v>
      </c>
      <c r="D29" s="131" t="str">
        <f>IF(AND(B29&lt;H10+4,L10&lt;54.01,L10&gt;47.99,C29&gt;5),"Elemente S-LS 575"," ")</f>
        <v> </v>
      </c>
      <c r="E29" s="132" t="str">
        <f>IF(AND(B29&lt;H10+4,$L10&lt;54.01,$L10&gt;47.99,$C29&gt;5),(R20*$A29)/3.14+S20," ")</f>
        <v> </v>
      </c>
      <c r="F29" s="133" t="str">
        <f>IF(AND($L$10&lt;54.01,$L$10&gt;47.99,C29&gt;5),"48,0 - 54,0"," ")</f>
        <v> </v>
      </c>
      <c r="G29" s="134" t="str">
        <f>IF(AND($L$10&lt;54.01,$L$10&gt;47.99,C29&gt;5),((((L10/S20)/100)-1%)*100)," ")</f>
        <v> </v>
      </c>
      <c r="H29" s="49" t="str">
        <f>IF(AND($H$12=1,C29&gt;5),C29*D74*L1," ")</f>
        <v> </v>
      </c>
      <c r="I29" s="49" t="str">
        <f>IF(AND($I$12=1,C29&gt;5),"----"," ")</f>
        <v> </v>
      </c>
      <c r="J29" s="49" t="str">
        <f>IF(AND($J$12=1,C29&gt;5),C29*I74*L1," ")</f>
        <v> </v>
      </c>
      <c r="K29" s="153" t="str">
        <f t="shared" si="0"/>
        <v> </v>
      </c>
      <c r="L29" s="49"/>
      <c r="M29" s="50"/>
      <c r="N29" s="16"/>
      <c r="O29" s="16"/>
      <c r="P29" s="16"/>
      <c r="Q29" s="147"/>
      <c r="R29" s="147"/>
      <c r="S29" s="147"/>
      <c r="T29" s="105"/>
      <c r="U29" s="105"/>
      <c r="V29" s="12"/>
      <c r="W29" s="12"/>
    </row>
    <row r="30" spans="1:23" ht="21" customHeight="1">
      <c r="A30" s="45" t="str">
        <f>IF(AND(L10&lt;95.01,L10&gt;82.99),L11/106.7," ")</f>
        <v> </v>
      </c>
      <c r="B30" s="52" t="str">
        <f>IF(AND($L10&lt;95.01,$L10&gt;82.99,$A30&gt;4),(R22*$A30)/3.14+S22," ")</f>
        <v> </v>
      </c>
      <c r="C30" s="130" t="str">
        <f>IF(AND(B30&lt;H10+4,L10&lt;95.01,L10&gt;82.99,A30&gt;4,H11&gt;132.99,H11&lt;1220.1),L11/106.7," ")</f>
        <v> </v>
      </c>
      <c r="D30" s="131" t="str">
        <f>IF(AND(B30&lt;H10+4,L10&lt;95.01,L10&gt;82.99,C30&gt;4),"Elemente S-LS 625"," ")</f>
        <v> </v>
      </c>
      <c r="E30" s="132" t="str">
        <f>IF(AND(B30&lt;H10+4,$L10&lt;95.01,$L10&gt;82.99,$C30&gt;4),(R22*$A30)/3.14+S22," ")</f>
        <v> </v>
      </c>
      <c r="F30" s="133" t="str">
        <f>IF(AND($L$10&lt;95.01,$L$10&gt;82.99,C30&gt;4),"83,0 - 95,0"," ")</f>
        <v> </v>
      </c>
      <c r="G30" s="134" t="str">
        <f>IF(AND($L$10&lt;95.01,$L$10&gt;82.99,C30&gt;4),((((L10/S22)/100)-1%)*100)," ")</f>
        <v> </v>
      </c>
      <c r="H30" s="49" t="str">
        <f>IF(AND($H$12=1,C30&gt;4),C30*D75*L1," ")</f>
        <v> </v>
      </c>
      <c r="I30" s="49" t="str">
        <f>IF(AND($I$12=1,C30&gt;4),"----"," ")</f>
        <v> </v>
      </c>
      <c r="J30" s="49" t="str">
        <f>IF(AND($J$12=1,C30&gt;4),C30*I75*L1," ")</f>
        <v> </v>
      </c>
      <c r="K30" s="153" t="str">
        <f t="shared" si="0"/>
        <v> </v>
      </c>
      <c r="L30" s="49"/>
      <c r="M30" s="50"/>
      <c r="N30" s="16"/>
      <c r="O30" s="16"/>
      <c r="P30" s="16"/>
      <c r="Q30" s="147"/>
      <c r="R30" s="147"/>
      <c r="S30" s="147"/>
      <c r="T30" s="105"/>
      <c r="U30" s="105"/>
      <c r="V30" s="12"/>
      <c r="W30" s="12"/>
    </row>
    <row r="31" spans="1:23" ht="21" customHeight="1" thickBot="1">
      <c r="A31" s="45" t="str">
        <f>IF(AND(L10&lt;77.01,L10&gt;68.99),L11/106.7," ")</f>
        <v> </v>
      </c>
      <c r="B31" s="52" t="str">
        <f>IF(AND($L10&lt;77.01,$L10&gt;68.99,$A31&gt;4),($R21*$A31)/3.14+$S21," ")</f>
        <v> </v>
      </c>
      <c r="C31" s="142" t="str">
        <f>IF(AND(B31&lt;H10+4,L10&lt;77.01,L10&gt;68.99,A31&gt;4,H11&gt;132.99,H11&lt;1220.1),L11/106.7," ")</f>
        <v> </v>
      </c>
      <c r="D31" s="143" t="str">
        <f>IF(AND(B31&lt;H10+4,L10&lt;77.01,L10&gt;68.99,C31&gt;4),"Elemente S-LS 650"," ")</f>
        <v> </v>
      </c>
      <c r="E31" s="144" t="str">
        <f>IF(AND(B31&lt;H10+4,$L10&lt;77.01,$L10&gt;68.99,$C31&gt;4),($R21*$A31)/3.14+$S21," ")</f>
        <v> </v>
      </c>
      <c r="F31" s="145" t="str">
        <f>IF(AND($L$10&lt;77.01,$L$10&gt;68.99,C31&gt;4),"69,0 - 77,0"," ")</f>
        <v> </v>
      </c>
      <c r="G31" s="146" t="str">
        <f>IF(AND($L$10&lt;77.01,$L$10&gt;68.99,C31&gt;4),((((L10/S21)/100)-1%)*100)," ")</f>
        <v> </v>
      </c>
      <c r="H31" s="60" t="str">
        <f>IF(AND($H$12=1,C31&gt;4),C31*D76*L1," ")</f>
        <v> </v>
      </c>
      <c r="I31" s="60" t="str">
        <f>IF(AND($I$12=1,C31&gt;4),"----"," ")</f>
        <v> </v>
      </c>
      <c r="J31" s="60" t="str">
        <f>IF(AND($J$12=1,C31&gt;4),C31*I76*L1," ")</f>
        <v> </v>
      </c>
      <c r="K31" s="154" t="str">
        <f t="shared" si="0"/>
        <v> </v>
      </c>
      <c r="L31" s="60"/>
      <c r="M31" s="61"/>
      <c r="N31" s="16"/>
      <c r="O31" s="16"/>
      <c r="P31" s="16"/>
      <c r="Q31" s="16"/>
      <c r="R31" s="16"/>
      <c r="S31" s="16"/>
      <c r="T31" s="12"/>
      <c r="U31" s="12"/>
      <c r="V31" s="12"/>
      <c r="W31" s="12"/>
    </row>
    <row r="32" spans="1:23" ht="45" customHeight="1" thickBot="1">
      <c r="A32" s="45"/>
      <c r="B32" s="45"/>
      <c r="C32" s="197" t="s">
        <v>74</v>
      </c>
      <c r="D32" s="198"/>
      <c r="E32" s="198"/>
      <c r="F32" s="198"/>
      <c r="G32" s="198"/>
      <c r="H32" s="198"/>
      <c r="I32" s="199"/>
      <c r="J32" s="183" t="s">
        <v>78</v>
      </c>
      <c r="K32" s="184"/>
      <c r="L32" s="185"/>
      <c r="M32" s="62" t="s">
        <v>79</v>
      </c>
      <c r="N32" s="16"/>
      <c r="O32" s="16"/>
      <c r="P32" s="16"/>
      <c r="Q32" s="16"/>
      <c r="R32" s="16"/>
      <c r="S32" s="16"/>
      <c r="T32" s="12"/>
      <c r="U32" s="12"/>
      <c r="V32" s="12"/>
      <c r="W32" s="12"/>
    </row>
    <row r="33" spans="1:23" ht="21" customHeight="1" thickBot="1">
      <c r="A33" s="63"/>
      <c r="B33" s="63"/>
      <c r="C33" s="64" t="s">
        <v>75</v>
      </c>
      <c r="D33" s="65"/>
      <c r="E33" s="66"/>
      <c r="F33" s="66"/>
      <c r="G33" s="66"/>
      <c r="H33" s="67"/>
      <c r="I33" s="68"/>
      <c r="J33" s="68"/>
      <c r="K33" s="68"/>
      <c r="L33" s="69"/>
      <c r="M33" s="70"/>
      <c r="N33" s="16"/>
      <c r="O33" s="16"/>
      <c r="P33" s="16"/>
      <c r="Q33" s="12"/>
      <c r="R33" s="12"/>
      <c r="S33" s="12"/>
      <c r="T33" s="12"/>
      <c r="U33" s="12"/>
      <c r="V33" s="12"/>
      <c r="W33" s="12"/>
    </row>
    <row r="34" spans="1:23" ht="18">
      <c r="A34" s="63"/>
      <c r="B34" s="63"/>
      <c r="C34" s="71" t="s">
        <v>57</v>
      </c>
      <c r="D34" s="72" t="s">
        <v>76</v>
      </c>
      <c r="E34" s="73"/>
      <c r="F34" s="73"/>
      <c r="G34" s="73"/>
      <c r="H34" s="188" t="s">
        <v>66</v>
      </c>
      <c r="I34" s="188"/>
      <c r="J34" s="188"/>
      <c r="K34" s="186" t="s">
        <v>67</v>
      </c>
      <c r="L34" s="186"/>
      <c r="M34" s="187"/>
      <c r="N34" s="16"/>
      <c r="O34" s="16"/>
      <c r="P34" s="16"/>
      <c r="Q34" s="12"/>
      <c r="R34" s="12"/>
      <c r="S34" s="12"/>
      <c r="T34" s="12"/>
      <c r="U34" s="12"/>
      <c r="V34" s="12"/>
      <c r="W34" s="12"/>
    </row>
    <row r="35" spans="1:23" ht="15.75" hidden="1">
      <c r="A35" s="63"/>
      <c r="B35" s="63"/>
      <c r="C35" s="71" t="s">
        <v>13</v>
      </c>
      <c r="D35" s="72" t="s">
        <v>14</v>
      </c>
      <c r="E35" s="73"/>
      <c r="F35" s="73"/>
      <c r="G35" s="73"/>
      <c r="H35" s="74"/>
      <c r="I35" s="74"/>
      <c r="J35" s="74"/>
      <c r="K35" s="74"/>
      <c r="L35" s="74"/>
      <c r="M35" s="75"/>
      <c r="N35" s="16"/>
      <c r="O35" s="16"/>
      <c r="P35" s="16"/>
      <c r="Q35" s="12"/>
      <c r="R35" s="12"/>
      <c r="S35" s="12"/>
      <c r="T35" s="12"/>
      <c r="U35" s="12"/>
      <c r="V35" s="12"/>
      <c r="W35" s="12"/>
    </row>
    <row r="36" spans="1:23" ht="18.75" customHeight="1">
      <c r="A36" s="63"/>
      <c r="B36" s="63"/>
      <c r="C36" s="71" t="s">
        <v>88</v>
      </c>
      <c r="D36" s="72" t="s">
        <v>77</v>
      </c>
      <c r="E36" s="76"/>
      <c r="F36" s="76"/>
      <c r="G36" s="76"/>
      <c r="H36" s="76"/>
      <c r="I36" s="76"/>
      <c r="J36" s="74"/>
      <c r="K36" s="74"/>
      <c r="L36" s="74"/>
      <c r="M36" s="75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8" customHeight="1">
      <c r="A37" s="63"/>
      <c r="B37" s="63"/>
      <c r="C37" s="156" t="s">
        <v>83</v>
      </c>
      <c r="D37" s="157" t="s">
        <v>84</v>
      </c>
      <c r="E37" s="157"/>
      <c r="F37" s="157"/>
      <c r="G37" s="157"/>
      <c r="H37" s="76"/>
      <c r="I37" s="76"/>
      <c r="J37" s="74"/>
      <c r="K37" s="74"/>
      <c r="L37" s="74"/>
      <c r="M37" s="75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8" customHeight="1">
      <c r="A38" s="63"/>
      <c r="B38" s="63"/>
      <c r="C38" s="71"/>
      <c r="D38" s="72"/>
      <c r="E38" s="76"/>
      <c r="F38" s="76"/>
      <c r="G38" s="76"/>
      <c r="H38" s="76"/>
      <c r="I38" s="76"/>
      <c r="J38" s="74"/>
      <c r="K38" s="74"/>
      <c r="L38" s="74"/>
      <c r="M38" s="75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6.5" thickBot="1">
      <c r="A39" s="63"/>
      <c r="B39" s="63"/>
      <c r="C39" s="64"/>
      <c r="D39" s="77"/>
      <c r="E39" s="78"/>
      <c r="F39" s="78"/>
      <c r="G39" s="78"/>
      <c r="H39" s="78"/>
      <c r="I39" s="78"/>
      <c r="J39" s="68"/>
      <c r="K39" s="68"/>
      <c r="L39" s="68"/>
      <c r="M39" s="70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158" ht="42" customHeight="1">
      <c r="A40" s="16"/>
      <c r="C40" s="195" t="s">
        <v>91</v>
      </c>
      <c r="D40" s="196"/>
      <c r="E40" s="196"/>
      <c r="F40" s="196"/>
      <c r="G40" s="196"/>
      <c r="H40" s="196"/>
      <c r="I40" s="196"/>
      <c r="J40" s="104"/>
      <c r="K40" s="104"/>
      <c r="L40" s="104"/>
      <c r="M40" s="80" t="s">
        <v>92</v>
      </c>
      <c r="N40" s="105"/>
      <c r="O40" s="105"/>
      <c r="P40" s="105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</row>
    <row r="41" spans="1:158" ht="15">
      <c r="A41" s="16"/>
      <c r="C41" s="82"/>
      <c r="D41" s="83" t="s">
        <v>1</v>
      </c>
      <c r="E41" s="83"/>
      <c r="F41" s="83"/>
      <c r="G41" s="83"/>
      <c r="H41" s="83" t="s">
        <v>1</v>
      </c>
      <c r="I41" s="83" t="s">
        <v>2</v>
      </c>
      <c r="J41" s="83" t="s">
        <v>2</v>
      </c>
      <c r="K41" s="83" t="s">
        <v>4</v>
      </c>
      <c r="L41" s="83" t="s">
        <v>4</v>
      </c>
      <c r="M41" s="84" t="s">
        <v>11</v>
      </c>
      <c r="N41" s="85" t="s">
        <v>11</v>
      </c>
      <c r="O41" s="86" t="s">
        <v>3</v>
      </c>
      <c r="P41" s="86" t="s">
        <v>3</v>
      </c>
      <c r="Q41" s="87" t="s">
        <v>5</v>
      </c>
      <c r="R41" s="86" t="s">
        <v>5</v>
      </c>
      <c r="S41" s="16" t="s">
        <v>6</v>
      </c>
      <c r="T41" s="16" t="s">
        <v>7</v>
      </c>
      <c r="U41" s="16" t="s">
        <v>8</v>
      </c>
      <c r="V41" s="16" t="s">
        <v>9</v>
      </c>
      <c r="W41" s="16" t="s">
        <v>10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</row>
    <row r="42" spans="1:158" ht="15">
      <c r="A42" s="16"/>
      <c r="C42" s="51">
        <v>200</v>
      </c>
      <c r="D42" s="88">
        <v>1.6</v>
      </c>
      <c r="E42" s="89"/>
      <c r="F42" s="89"/>
      <c r="G42" s="89"/>
      <c r="H42" s="51">
        <v>22111</v>
      </c>
      <c r="I42" s="90">
        <v>1.8</v>
      </c>
      <c r="J42" s="51">
        <v>22155</v>
      </c>
      <c r="K42" s="90">
        <f aca="true" t="shared" si="1" ref="K42:K51">D42*1.1</f>
        <v>1.76</v>
      </c>
      <c r="L42" s="51">
        <v>22250</v>
      </c>
      <c r="M42" s="90">
        <f aca="true" t="shared" si="2" ref="M42:M51">I42*1.1</f>
        <v>1.98</v>
      </c>
      <c r="N42" s="16">
        <v>22230</v>
      </c>
      <c r="O42" s="91">
        <f aca="true" t="shared" si="3" ref="O42:O51">D42*1.2</f>
        <v>1.92</v>
      </c>
      <c r="P42" s="16">
        <v>22125</v>
      </c>
      <c r="Q42" s="91">
        <f aca="true" t="shared" si="4" ref="Q42:Q51">I42*1.2</f>
        <v>2.16</v>
      </c>
      <c r="R42" s="16">
        <v>22185</v>
      </c>
      <c r="S42" s="16">
        <v>12.5</v>
      </c>
      <c r="T42" s="16">
        <v>16</v>
      </c>
      <c r="U42" s="16">
        <v>30</v>
      </c>
      <c r="V42" s="16">
        <v>21.3</v>
      </c>
      <c r="W42" s="16">
        <v>4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</row>
    <row r="43" spans="1:158" ht="15">
      <c r="A43" s="16"/>
      <c r="C43" s="51">
        <v>275</v>
      </c>
      <c r="D43" s="88">
        <v>2.2</v>
      </c>
      <c r="E43" s="89"/>
      <c r="F43" s="89"/>
      <c r="G43" s="89"/>
      <c r="H43" s="51">
        <v>22121</v>
      </c>
      <c r="I43" s="90">
        <v>3</v>
      </c>
      <c r="J43" s="51">
        <v>22156</v>
      </c>
      <c r="K43" s="90">
        <f t="shared" si="1"/>
        <v>2.42</v>
      </c>
      <c r="L43" s="51">
        <v>22251</v>
      </c>
      <c r="M43" s="90">
        <f t="shared" si="2"/>
        <v>3.3</v>
      </c>
      <c r="N43" s="16">
        <v>22231</v>
      </c>
      <c r="O43" s="91">
        <f t="shared" si="3"/>
        <v>2.64</v>
      </c>
      <c r="P43" s="16">
        <v>22126</v>
      </c>
      <c r="Q43" s="91">
        <f t="shared" si="4"/>
        <v>3.6</v>
      </c>
      <c r="R43" s="16">
        <v>22186</v>
      </c>
      <c r="S43" s="16">
        <v>16</v>
      </c>
      <c r="T43" s="16">
        <v>20</v>
      </c>
      <c r="U43" s="16">
        <v>25.1</v>
      </c>
      <c r="V43" s="16">
        <v>0</v>
      </c>
      <c r="W43" s="16">
        <v>4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</row>
    <row r="44" spans="1:158" ht="15">
      <c r="A44" s="16"/>
      <c r="C44" s="51">
        <v>300</v>
      </c>
      <c r="D44" s="88">
        <v>3.2</v>
      </c>
      <c r="E44" s="89"/>
      <c r="F44" s="89"/>
      <c r="G44" s="89"/>
      <c r="H44" s="51">
        <v>22112</v>
      </c>
      <c r="I44" s="90">
        <v>4</v>
      </c>
      <c r="J44" s="51">
        <v>22157</v>
      </c>
      <c r="K44" s="90">
        <f t="shared" si="1"/>
        <v>3.52</v>
      </c>
      <c r="L44" s="51">
        <v>22252</v>
      </c>
      <c r="M44" s="90">
        <f t="shared" si="2"/>
        <v>4.4</v>
      </c>
      <c r="N44" s="16">
        <v>22232</v>
      </c>
      <c r="O44" s="91">
        <f t="shared" si="3"/>
        <v>3.84</v>
      </c>
      <c r="P44" s="16">
        <v>22127</v>
      </c>
      <c r="Q44" s="91">
        <f t="shared" si="4"/>
        <v>4.8</v>
      </c>
      <c r="R44" s="16">
        <v>22187</v>
      </c>
      <c r="S44" s="16">
        <v>18</v>
      </c>
      <c r="T44" s="16">
        <v>22.5</v>
      </c>
      <c r="U44" s="16">
        <v>40.1</v>
      </c>
      <c r="V44" s="16">
        <v>44.5</v>
      </c>
      <c r="W44" s="16">
        <v>5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</row>
    <row r="45" spans="3:158" ht="15">
      <c r="C45" s="51">
        <v>315</v>
      </c>
      <c r="D45" s="88">
        <v>3.7</v>
      </c>
      <c r="E45" s="89"/>
      <c r="F45" s="89"/>
      <c r="G45" s="89"/>
      <c r="H45" s="51">
        <v>22120</v>
      </c>
      <c r="I45" s="90">
        <v>4.8</v>
      </c>
      <c r="J45" s="51">
        <v>22158</v>
      </c>
      <c r="K45" s="90">
        <f t="shared" si="1"/>
        <v>4.07</v>
      </c>
      <c r="L45" s="51">
        <v>22253</v>
      </c>
      <c r="M45" s="90">
        <f t="shared" si="2"/>
        <v>5.28</v>
      </c>
      <c r="N45" s="16">
        <v>22233</v>
      </c>
      <c r="O45" s="91">
        <f t="shared" si="3"/>
        <v>4.44</v>
      </c>
      <c r="P45" s="16">
        <v>22128</v>
      </c>
      <c r="Q45" s="91">
        <f t="shared" si="4"/>
        <v>5.76</v>
      </c>
      <c r="R45" s="16">
        <v>22188</v>
      </c>
      <c r="S45" s="16">
        <v>21.1</v>
      </c>
      <c r="T45" s="16">
        <v>26</v>
      </c>
      <c r="U45" s="16">
        <v>38.4</v>
      </c>
      <c r="V45" s="16">
        <v>37</v>
      </c>
      <c r="W45" s="16">
        <v>5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</row>
    <row r="46" spans="3:158" ht="15">
      <c r="C46" s="51">
        <v>325</v>
      </c>
      <c r="D46" s="88">
        <v>5.5</v>
      </c>
      <c r="E46" s="89"/>
      <c r="F46" s="89"/>
      <c r="G46" s="89"/>
      <c r="H46" s="51">
        <v>22113</v>
      </c>
      <c r="I46" s="90">
        <v>9</v>
      </c>
      <c r="J46" s="51">
        <v>22159</v>
      </c>
      <c r="K46" s="90">
        <f t="shared" si="1"/>
        <v>6.05</v>
      </c>
      <c r="L46" s="51">
        <v>22254</v>
      </c>
      <c r="M46" s="90">
        <f t="shared" si="2"/>
        <v>9.9</v>
      </c>
      <c r="N46" s="16">
        <v>22234</v>
      </c>
      <c r="O46" s="91">
        <f t="shared" si="3"/>
        <v>6.6</v>
      </c>
      <c r="P46" s="16">
        <v>22129</v>
      </c>
      <c r="Q46" s="91">
        <f t="shared" si="4"/>
        <v>10.8</v>
      </c>
      <c r="R46" s="16">
        <v>22189</v>
      </c>
      <c r="S46" s="16">
        <v>23.2</v>
      </c>
      <c r="T46" s="16">
        <v>30</v>
      </c>
      <c r="U46" s="16">
        <v>79.4</v>
      </c>
      <c r="V46" s="16">
        <v>133</v>
      </c>
      <c r="W46" s="16">
        <v>6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</row>
    <row r="47" spans="3:158" ht="15">
      <c r="C47" s="51">
        <v>340</v>
      </c>
      <c r="D47" s="88">
        <v>5</v>
      </c>
      <c r="E47" s="89"/>
      <c r="F47" s="89"/>
      <c r="G47" s="89"/>
      <c r="H47" s="51">
        <v>22119</v>
      </c>
      <c r="I47" s="90">
        <v>7</v>
      </c>
      <c r="J47" s="51">
        <v>22142</v>
      </c>
      <c r="K47" s="90">
        <f t="shared" si="1"/>
        <v>5.5</v>
      </c>
      <c r="L47" s="51"/>
      <c r="M47" s="90">
        <f t="shared" si="2"/>
        <v>7.7</v>
      </c>
      <c r="N47" s="16"/>
      <c r="O47" s="91">
        <f t="shared" si="3"/>
        <v>6</v>
      </c>
      <c r="P47" s="16">
        <v>22147</v>
      </c>
      <c r="Q47" s="91">
        <f t="shared" si="4"/>
        <v>8.4</v>
      </c>
      <c r="R47" s="16">
        <v>22151</v>
      </c>
      <c r="S47" s="16">
        <v>25.5</v>
      </c>
      <c r="T47" s="16">
        <v>34</v>
      </c>
      <c r="U47" s="16">
        <v>41.4</v>
      </c>
      <c r="V47" s="16">
        <v>14</v>
      </c>
      <c r="W47" s="16">
        <v>4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</row>
    <row r="48" spans="3:158" ht="15">
      <c r="C48" s="51">
        <v>360</v>
      </c>
      <c r="D48" s="88">
        <v>6</v>
      </c>
      <c r="E48" s="89"/>
      <c r="F48" s="89"/>
      <c r="G48" s="89"/>
      <c r="H48" s="51">
        <v>22124</v>
      </c>
      <c r="I48" s="90">
        <v>8</v>
      </c>
      <c r="J48" s="51">
        <v>22144</v>
      </c>
      <c r="K48" s="90">
        <f t="shared" si="1"/>
        <v>6.6</v>
      </c>
      <c r="L48" s="51"/>
      <c r="M48" s="90">
        <f t="shared" si="2"/>
        <v>8.8</v>
      </c>
      <c r="N48" s="16"/>
      <c r="O48" s="91">
        <f t="shared" si="3"/>
        <v>7.2</v>
      </c>
      <c r="P48" s="16">
        <v>22148</v>
      </c>
      <c r="Q48" s="91">
        <f t="shared" si="4"/>
        <v>9.6</v>
      </c>
      <c r="R48" s="16">
        <v>22167</v>
      </c>
      <c r="S48" s="16">
        <v>32</v>
      </c>
      <c r="T48" s="16">
        <v>42</v>
      </c>
      <c r="U48" s="16">
        <v>55.1</v>
      </c>
      <c r="V48" s="16">
        <v>16</v>
      </c>
      <c r="W48" s="16">
        <v>4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</row>
    <row r="49" spans="3:158" ht="15">
      <c r="C49" s="51">
        <v>400</v>
      </c>
      <c r="D49" s="88">
        <v>9</v>
      </c>
      <c r="E49" s="89"/>
      <c r="F49" s="89"/>
      <c r="G49" s="89"/>
      <c r="H49" s="51">
        <v>22114</v>
      </c>
      <c r="I49" s="90">
        <v>13</v>
      </c>
      <c r="J49" s="51">
        <v>22160</v>
      </c>
      <c r="K49" s="90">
        <f t="shared" si="1"/>
        <v>9.9</v>
      </c>
      <c r="L49" s="51">
        <v>22256</v>
      </c>
      <c r="M49" s="90">
        <f t="shared" si="2"/>
        <v>14.3</v>
      </c>
      <c r="N49" s="16">
        <v>22236</v>
      </c>
      <c r="O49" s="91">
        <f t="shared" si="3"/>
        <v>10.8</v>
      </c>
      <c r="P49" s="16">
        <v>22130</v>
      </c>
      <c r="Q49" s="91">
        <f t="shared" si="4"/>
        <v>15.6</v>
      </c>
      <c r="R49" s="16">
        <v>22190</v>
      </c>
      <c r="S49" s="16">
        <v>36.3</v>
      </c>
      <c r="T49" s="16">
        <v>46</v>
      </c>
      <c r="U49" s="16">
        <v>93.1</v>
      </c>
      <c r="V49" s="16">
        <v>139.7</v>
      </c>
      <c r="W49" s="16">
        <v>6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</row>
    <row r="50" spans="3:158" ht="15">
      <c r="C50" s="51">
        <v>410</v>
      </c>
      <c r="D50" s="88">
        <v>7</v>
      </c>
      <c r="E50" s="89"/>
      <c r="F50" s="89"/>
      <c r="G50" s="89"/>
      <c r="H50" s="51">
        <v>22137</v>
      </c>
      <c r="I50" s="90">
        <v>11</v>
      </c>
      <c r="J50" s="51">
        <v>22146</v>
      </c>
      <c r="K50" s="90">
        <f t="shared" si="1"/>
        <v>7.7</v>
      </c>
      <c r="L50" s="51"/>
      <c r="M50" s="90">
        <f t="shared" si="2"/>
        <v>12.1</v>
      </c>
      <c r="N50" s="16"/>
      <c r="O50" s="91">
        <f t="shared" si="3"/>
        <v>8.4</v>
      </c>
      <c r="P50" s="16">
        <v>22150</v>
      </c>
      <c r="Q50" s="91">
        <f t="shared" si="4"/>
        <v>13.2</v>
      </c>
      <c r="R50" s="16">
        <v>22168</v>
      </c>
      <c r="S50" s="16">
        <v>37</v>
      </c>
      <c r="T50" s="16">
        <v>48.5</v>
      </c>
      <c r="U50" s="16">
        <v>67.6</v>
      </c>
      <c r="V50" s="16">
        <v>44.5</v>
      </c>
      <c r="W50" s="16">
        <v>4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</row>
    <row r="51" spans="3:158" ht="15">
      <c r="C51" s="51">
        <v>425</v>
      </c>
      <c r="D51" s="88">
        <v>8.5</v>
      </c>
      <c r="E51" s="89"/>
      <c r="F51" s="89"/>
      <c r="G51" s="89"/>
      <c r="H51" s="51">
        <v>22115</v>
      </c>
      <c r="I51" s="90">
        <v>12</v>
      </c>
      <c r="J51" s="51">
        <v>22161</v>
      </c>
      <c r="K51" s="90">
        <f t="shared" si="1"/>
        <v>9.35</v>
      </c>
      <c r="L51" s="51">
        <v>22257</v>
      </c>
      <c r="M51" s="90">
        <f t="shared" si="2"/>
        <v>13.2</v>
      </c>
      <c r="N51" s="16">
        <v>22237</v>
      </c>
      <c r="O51" s="91">
        <f t="shared" si="3"/>
        <v>10.2</v>
      </c>
      <c r="P51" s="16">
        <v>22131</v>
      </c>
      <c r="Q51" s="91">
        <f t="shared" si="4"/>
        <v>14.4</v>
      </c>
      <c r="R51" s="16">
        <v>22191</v>
      </c>
      <c r="S51" s="16">
        <v>28.4</v>
      </c>
      <c r="T51" s="16">
        <v>37</v>
      </c>
      <c r="U51" s="16">
        <v>93.1</v>
      </c>
      <c r="V51" s="16">
        <v>144</v>
      </c>
      <c r="W51" s="16">
        <v>6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</row>
    <row r="52" spans="3:158" ht="15">
      <c r="C52" s="51">
        <v>440</v>
      </c>
      <c r="D52" s="88">
        <v>9.75</v>
      </c>
      <c r="E52" s="89"/>
      <c r="F52" s="89"/>
      <c r="G52" s="89"/>
      <c r="H52" s="51"/>
      <c r="I52" s="90">
        <v>15</v>
      </c>
      <c r="J52" s="51"/>
      <c r="K52" s="90" t="s">
        <v>12</v>
      </c>
      <c r="L52" s="51"/>
      <c r="M52" s="90" t="s">
        <v>12</v>
      </c>
      <c r="N52" s="16"/>
      <c r="O52" s="91" t="s">
        <v>12</v>
      </c>
      <c r="P52" s="16"/>
      <c r="Q52" s="91" t="s">
        <v>12</v>
      </c>
      <c r="R52" s="16"/>
      <c r="S52" s="16"/>
      <c r="T52" s="16"/>
      <c r="U52" s="16"/>
      <c r="V52" s="16"/>
      <c r="W52" s="16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</row>
    <row r="53" spans="3:158" ht="15">
      <c r="C53" s="51">
        <v>475</v>
      </c>
      <c r="D53" s="88">
        <v>8</v>
      </c>
      <c r="E53" s="89"/>
      <c r="F53" s="89"/>
      <c r="G53" s="89"/>
      <c r="H53" s="51">
        <v>22116</v>
      </c>
      <c r="I53" s="90">
        <v>12</v>
      </c>
      <c r="J53" s="51">
        <v>22162</v>
      </c>
      <c r="K53" s="90">
        <f>D53*1.1</f>
        <v>8.8</v>
      </c>
      <c r="L53" s="51">
        <v>22258</v>
      </c>
      <c r="M53" s="90">
        <f>I53*1.1</f>
        <v>13.2</v>
      </c>
      <c r="N53" s="16">
        <v>22238</v>
      </c>
      <c r="O53" s="91">
        <f>D53*1.2</f>
        <v>9.6</v>
      </c>
      <c r="P53" s="16">
        <v>22132</v>
      </c>
      <c r="Q53" s="91">
        <f>I53*1.2</f>
        <v>14.4</v>
      </c>
      <c r="R53" s="16">
        <v>22192</v>
      </c>
      <c r="S53" s="16">
        <v>41.3</v>
      </c>
      <c r="T53" s="16">
        <v>48.5</v>
      </c>
      <c r="U53" s="16">
        <v>68.3</v>
      </c>
      <c r="V53" s="16">
        <v>60.3</v>
      </c>
      <c r="W53" s="16">
        <v>5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</row>
    <row r="54" spans="3:158" ht="15">
      <c r="C54" s="51">
        <v>500</v>
      </c>
      <c r="D54" s="88">
        <v>16</v>
      </c>
      <c r="E54" s="89"/>
      <c r="F54" s="89"/>
      <c r="G54" s="89"/>
      <c r="H54" s="51">
        <v>22117</v>
      </c>
      <c r="I54" s="90">
        <v>24</v>
      </c>
      <c r="J54" s="51">
        <v>22163</v>
      </c>
      <c r="K54" s="90">
        <f>D54*1.1</f>
        <v>17.6</v>
      </c>
      <c r="L54" s="51">
        <v>22259</v>
      </c>
      <c r="M54" s="90">
        <f>I54*1.1</f>
        <v>26.4</v>
      </c>
      <c r="N54" s="16">
        <v>22239</v>
      </c>
      <c r="O54" s="91">
        <f>D54*1.2</f>
        <v>19.2</v>
      </c>
      <c r="P54" s="16">
        <v>22133</v>
      </c>
      <c r="Q54" s="91">
        <f>I54*1.2</f>
        <v>28.8</v>
      </c>
      <c r="R54" s="16">
        <v>22193</v>
      </c>
      <c r="S54" s="16">
        <v>60.3</v>
      </c>
      <c r="T54" s="16">
        <v>71.5</v>
      </c>
      <c r="U54" s="16">
        <v>99.1</v>
      </c>
      <c r="V54" s="16">
        <v>100</v>
      </c>
      <c r="W54" s="16">
        <v>5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</row>
    <row r="55" spans="3:158" ht="15">
      <c r="C55" s="51">
        <v>525</v>
      </c>
      <c r="D55" s="88">
        <v>15.5</v>
      </c>
      <c r="E55" s="89"/>
      <c r="F55" s="89"/>
      <c r="G55" s="89"/>
      <c r="H55" s="51">
        <v>22118</v>
      </c>
      <c r="I55" s="90">
        <v>23</v>
      </c>
      <c r="J55" s="51">
        <v>22164</v>
      </c>
      <c r="K55" s="90">
        <f>D55*1.1</f>
        <v>17.05</v>
      </c>
      <c r="L55" s="51">
        <v>22247</v>
      </c>
      <c r="M55" s="90">
        <f>I55*1.1</f>
        <v>25.3</v>
      </c>
      <c r="N55" s="51">
        <v>22242</v>
      </c>
      <c r="O55" s="91">
        <f>D55*1.2</f>
        <v>18.6</v>
      </c>
      <c r="P55" s="16">
        <v>22134</v>
      </c>
      <c r="Q55" s="91">
        <f>I55*1.2</f>
        <v>27.6</v>
      </c>
      <c r="R55" s="16">
        <v>22194</v>
      </c>
      <c r="S55" s="16">
        <v>55.4</v>
      </c>
      <c r="T55" s="16">
        <v>63.5</v>
      </c>
      <c r="U55" s="16">
        <v>99.1</v>
      </c>
      <c r="V55" s="16">
        <v>1333</v>
      </c>
      <c r="W55" s="16">
        <v>6</v>
      </c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</row>
    <row r="56" spans="3:158" ht="15">
      <c r="C56" s="51">
        <v>575</v>
      </c>
      <c r="D56" s="88">
        <v>13.5</v>
      </c>
      <c r="E56" s="89"/>
      <c r="F56" s="89"/>
      <c r="G56" s="89"/>
      <c r="H56" s="51">
        <v>22122</v>
      </c>
      <c r="I56" s="90">
        <v>22</v>
      </c>
      <c r="J56" s="51">
        <v>22165</v>
      </c>
      <c r="K56" s="90">
        <f>D56*1.1</f>
        <v>14.85</v>
      </c>
      <c r="L56" s="51">
        <v>22248</v>
      </c>
      <c r="M56" s="90">
        <f>I56*1.1</f>
        <v>24.2</v>
      </c>
      <c r="N56" s="51">
        <v>22243</v>
      </c>
      <c r="O56" s="91">
        <f>D56*1.2</f>
        <v>16.2</v>
      </c>
      <c r="P56" s="16">
        <v>22135</v>
      </c>
      <c r="Q56" s="91">
        <f>I56*1.2</f>
        <v>26.4</v>
      </c>
      <c r="R56" s="16">
        <v>22195</v>
      </c>
      <c r="S56" s="16">
        <v>48</v>
      </c>
      <c r="T56" s="16">
        <v>58</v>
      </c>
      <c r="U56" s="16">
        <v>79.5</v>
      </c>
      <c r="V56" s="16">
        <v>130</v>
      </c>
      <c r="W56" s="16">
        <v>5</v>
      </c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</row>
    <row r="57" spans="3:158" ht="15">
      <c r="C57" s="51">
        <v>600</v>
      </c>
      <c r="D57" s="88">
        <v>30</v>
      </c>
      <c r="E57" s="89"/>
      <c r="F57" s="89"/>
      <c r="G57" s="89"/>
      <c r="H57" s="51">
        <v>22123</v>
      </c>
      <c r="I57" s="90">
        <v>39</v>
      </c>
      <c r="J57" s="51">
        <v>22166</v>
      </c>
      <c r="K57" s="51" t="s">
        <v>12</v>
      </c>
      <c r="L57" s="51" t="s">
        <v>12</v>
      </c>
      <c r="M57" s="51" t="s">
        <v>12</v>
      </c>
      <c r="N57" s="16" t="s">
        <v>12</v>
      </c>
      <c r="O57" s="91">
        <f>D57*1.2</f>
        <v>36</v>
      </c>
      <c r="P57" s="16">
        <v>22136</v>
      </c>
      <c r="Q57" s="91">
        <f>I57*1.2</f>
        <v>46.8</v>
      </c>
      <c r="R57" s="16">
        <v>22196</v>
      </c>
      <c r="S57" s="16">
        <v>81.6</v>
      </c>
      <c r="T57" s="16">
        <v>102</v>
      </c>
      <c r="U57" s="16">
        <v>155</v>
      </c>
      <c r="V57" s="16">
        <v>219</v>
      </c>
      <c r="W57" s="16">
        <v>6</v>
      </c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</row>
    <row r="58" spans="3:158" ht="15">
      <c r="C58" s="51">
        <v>650</v>
      </c>
      <c r="D58" s="88">
        <v>23</v>
      </c>
      <c r="E58" s="51"/>
      <c r="F58" s="51"/>
      <c r="G58" s="51"/>
      <c r="H58" s="51">
        <v>22061</v>
      </c>
      <c r="I58" s="90">
        <v>33</v>
      </c>
      <c r="J58" s="51">
        <v>22071</v>
      </c>
      <c r="K58" s="51"/>
      <c r="L58" s="51"/>
      <c r="M58" s="51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</row>
    <row r="59" spans="1:158" ht="15">
      <c r="A59" s="16"/>
      <c r="B59" s="16"/>
      <c r="C59" s="51"/>
      <c r="D59" s="88"/>
      <c r="E59" s="51"/>
      <c r="F59" s="51"/>
      <c r="G59" s="51"/>
      <c r="H59" s="51"/>
      <c r="I59" s="90"/>
      <c r="J59" s="51"/>
      <c r="K59" s="83" t="s">
        <v>82</v>
      </c>
      <c r="L59" s="51"/>
      <c r="M59" s="51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</row>
    <row r="60" spans="1:158" ht="15">
      <c r="A60" s="16"/>
      <c r="B60" s="16"/>
      <c r="C60" s="51" t="s">
        <v>93</v>
      </c>
      <c r="D60" s="88"/>
      <c r="E60" s="51"/>
      <c r="F60" s="51"/>
      <c r="G60" s="51"/>
      <c r="H60" s="51"/>
      <c r="I60" s="90"/>
      <c r="J60" s="51"/>
      <c r="K60" s="155">
        <v>3.7</v>
      </c>
      <c r="L60" s="51"/>
      <c r="M60" s="51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</row>
    <row r="61" spans="1:158" ht="15">
      <c r="A61" s="16"/>
      <c r="B61" s="16"/>
      <c r="C61" s="51" t="s">
        <v>94</v>
      </c>
      <c r="D61" s="51"/>
      <c r="E61" s="51"/>
      <c r="F61" s="51"/>
      <c r="G61" s="51"/>
      <c r="H61" s="51"/>
      <c r="I61" s="51"/>
      <c r="J61" s="51"/>
      <c r="K61" s="158">
        <v>4</v>
      </c>
      <c r="L61" s="51"/>
      <c r="M61" s="8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</row>
    <row r="62" spans="1:158" ht="15">
      <c r="A62" s="16"/>
      <c r="B62" s="16"/>
      <c r="C62" s="51" t="s">
        <v>16</v>
      </c>
      <c r="D62" s="88">
        <v>2.95</v>
      </c>
      <c r="E62" s="51"/>
      <c r="F62" s="51"/>
      <c r="G62" s="51"/>
      <c r="H62" s="51">
        <v>22020</v>
      </c>
      <c r="I62" s="90">
        <v>3.5</v>
      </c>
      <c r="J62" s="51">
        <v>22040</v>
      </c>
      <c r="K62" s="155">
        <v>4.2</v>
      </c>
      <c r="L62" s="51"/>
      <c r="M62" s="8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</row>
    <row r="63" spans="1:158" ht="15">
      <c r="A63" s="16"/>
      <c r="B63" s="16"/>
      <c r="C63" s="51" t="s">
        <v>17</v>
      </c>
      <c r="D63" s="88">
        <v>3.6</v>
      </c>
      <c r="E63" s="51"/>
      <c r="F63" s="51"/>
      <c r="G63" s="51"/>
      <c r="H63" s="51">
        <v>22021</v>
      </c>
      <c r="I63" s="90">
        <v>4.2</v>
      </c>
      <c r="J63" s="51">
        <v>22041</v>
      </c>
      <c r="K63" s="155">
        <v>5.25</v>
      </c>
      <c r="L63" s="51"/>
      <c r="M63" s="8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</row>
    <row r="64" spans="1:158" ht="15">
      <c r="A64" s="16"/>
      <c r="B64" s="16"/>
      <c r="C64" s="51" t="s">
        <v>18</v>
      </c>
      <c r="D64" s="88">
        <v>4.75</v>
      </c>
      <c r="E64" s="51"/>
      <c r="F64" s="51"/>
      <c r="G64" s="51"/>
      <c r="H64" s="51">
        <v>22022</v>
      </c>
      <c r="I64" s="90">
        <v>7.35</v>
      </c>
      <c r="J64" s="51">
        <v>22042</v>
      </c>
      <c r="K64" s="155">
        <v>9.2</v>
      </c>
      <c r="L64" s="51"/>
      <c r="M64" s="8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</row>
    <row r="65" spans="1:158" ht="15">
      <c r="A65" s="16"/>
      <c r="B65" s="16"/>
      <c r="C65" s="51" t="s">
        <v>19</v>
      </c>
      <c r="D65" s="88">
        <v>3.8</v>
      </c>
      <c r="E65" s="51"/>
      <c r="F65" s="51"/>
      <c r="G65" s="51"/>
      <c r="H65" s="51">
        <v>22023</v>
      </c>
      <c r="I65" s="90">
        <v>5.25</v>
      </c>
      <c r="J65" s="51">
        <v>22043</v>
      </c>
      <c r="K65" s="155">
        <v>7.1</v>
      </c>
      <c r="L65" s="51"/>
      <c r="M65" s="8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</row>
    <row r="66" spans="1:158" ht="15">
      <c r="A66" s="16"/>
      <c r="B66" s="16"/>
      <c r="C66" s="51" t="s">
        <v>20</v>
      </c>
      <c r="D66" s="88">
        <v>4.65</v>
      </c>
      <c r="E66" s="51"/>
      <c r="F66" s="51"/>
      <c r="G66" s="51"/>
      <c r="H66" s="51">
        <v>22024</v>
      </c>
      <c r="I66" s="90">
        <v>6.85</v>
      </c>
      <c r="J66" s="51">
        <v>22044</v>
      </c>
      <c r="K66" s="155">
        <v>8.4</v>
      </c>
      <c r="L66" s="51"/>
      <c r="M66" s="8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</row>
    <row r="67" spans="1:158" ht="15">
      <c r="A67" s="16"/>
      <c r="B67" s="16"/>
      <c r="C67" s="51" t="s">
        <v>21</v>
      </c>
      <c r="D67" s="88">
        <v>8.4</v>
      </c>
      <c r="E67" s="16"/>
      <c r="F67" s="16"/>
      <c r="G67" s="16"/>
      <c r="H67" s="51">
        <v>22025</v>
      </c>
      <c r="I67" s="90">
        <v>10.25</v>
      </c>
      <c r="J67" s="51">
        <v>22045</v>
      </c>
      <c r="K67" s="159">
        <v>13.15</v>
      </c>
      <c r="L67" s="16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</row>
    <row r="68" spans="1:158" ht="15">
      <c r="A68" s="16"/>
      <c r="B68" s="16"/>
      <c r="C68" s="51" t="s">
        <v>22</v>
      </c>
      <c r="D68" s="88">
        <v>6.3</v>
      </c>
      <c r="E68" s="16"/>
      <c r="F68" s="16"/>
      <c r="G68" s="16"/>
      <c r="H68" s="51">
        <v>22026</v>
      </c>
      <c r="I68" s="90">
        <v>8.3</v>
      </c>
      <c r="J68" s="51">
        <v>22046</v>
      </c>
      <c r="K68" s="159">
        <v>11.55</v>
      </c>
      <c r="L68" s="16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</row>
    <row r="69" spans="1:158" ht="15">
      <c r="A69" s="16"/>
      <c r="B69" s="16"/>
      <c r="C69" s="51" t="s">
        <v>23</v>
      </c>
      <c r="D69" s="88">
        <v>7.9</v>
      </c>
      <c r="E69" s="16"/>
      <c r="F69" s="16"/>
      <c r="G69" s="16"/>
      <c r="H69" s="51">
        <v>22027</v>
      </c>
      <c r="I69" s="90">
        <v>11.55</v>
      </c>
      <c r="J69" s="51">
        <v>22047</v>
      </c>
      <c r="K69" s="159">
        <v>13.65</v>
      </c>
      <c r="L69" s="16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</row>
    <row r="70" spans="1:158" ht="15">
      <c r="A70" s="16"/>
      <c r="B70" s="16"/>
      <c r="C70" s="51" t="s">
        <v>24</v>
      </c>
      <c r="D70" s="88">
        <v>8.95</v>
      </c>
      <c r="E70" s="16"/>
      <c r="F70" s="16"/>
      <c r="G70" s="16"/>
      <c r="H70" s="51">
        <v>22028</v>
      </c>
      <c r="I70" s="90">
        <v>13.65</v>
      </c>
      <c r="J70" s="51">
        <v>22048</v>
      </c>
      <c r="K70" s="159">
        <v>16.8</v>
      </c>
      <c r="L70" s="16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</row>
    <row r="71" spans="1:158" ht="15">
      <c r="A71" s="16"/>
      <c r="B71" s="16"/>
      <c r="C71" s="51" t="s">
        <v>25</v>
      </c>
      <c r="D71" s="88">
        <v>7.35</v>
      </c>
      <c r="E71" s="16"/>
      <c r="F71" s="16"/>
      <c r="G71" s="16"/>
      <c r="H71" s="51">
        <v>22029</v>
      </c>
      <c r="I71" s="90">
        <v>11.55</v>
      </c>
      <c r="J71" s="51">
        <v>22049</v>
      </c>
      <c r="K71" s="159">
        <v>13.9</v>
      </c>
      <c r="L71" s="16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</row>
    <row r="72" spans="1:158" ht="15">
      <c r="A72" s="16"/>
      <c r="B72" s="16"/>
      <c r="C72" s="51" t="s">
        <v>26</v>
      </c>
      <c r="D72" s="88">
        <v>14.7</v>
      </c>
      <c r="E72" s="16"/>
      <c r="F72" s="16"/>
      <c r="G72" s="16"/>
      <c r="H72" s="51">
        <v>22030</v>
      </c>
      <c r="I72" s="90">
        <v>22.05</v>
      </c>
      <c r="J72" s="51">
        <v>22050</v>
      </c>
      <c r="K72" s="159">
        <v>26.9</v>
      </c>
      <c r="L72" s="16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</row>
    <row r="73" spans="1:158" ht="15">
      <c r="A73" s="16"/>
      <c r="B73" s="16"/>
      <c r="C73" s="51" t="s">
        <v>27</v>
      </c>
      <c r="D73" s="88">
        <v>14.2</v>
      </c>
      <c r="E73" s="16"/>
      <c r="F73" s="16"/>
      <c r="G73" s="16"/>
      <c r="H73" s="51">
        <v>22031</v>
      </c>
      <c r="I73" s="90">
        <v>21</v>
      </c>
      <c r="J73" s="51">
        <v>22051</v>
      </c>
      <c r="K73" s="159">
        <v>25.55</v>
      </c>
      <c r="L73" s="16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</row>
    <row r="74" spans="1:158" ht="15">
      <c r="A74" s="16"/>
      <c r="B74" s="16"/>
      <c r="C74" s="51" t="s">
        <v>28</v>
      </c>
      <c r="D74" s="88">
        <v>11.55</v>
      </c>
      <c r="E74" s="16"/>
      <c r="F74" s="16"/>
      <c r="G74" s="16"/>
      <c r="H74" s="51">
        <v>22032</v>
      </c>
      <c r="I74" s="90">
        <v>18.4</v>
      </c>
      <c r="J74" s="51">
        <v>22052</v>
      </c>
      <c r="K74" s="159">
        <v>22.6</v>
      </c>
      <c r="L74" s="16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</row>
    <row r="75" spans="1:158" ht="15">
      <c r="A75" s="16"/>
      <c r="B75" s="16"/>
      <c r="C75" s="51" t="s">
        <v>29</v>
      </c>
      <c r="D75" s="88">
        <v>18.9</v>
      </c>
      <c r="E75" s="16"/>
      <c r="F75" s="16"/>
      <c r="G75" s="16"/>
      <c r="H75" s="51">
        <v>22033</v>
      </c>
      <c r="I75" s="90">
        <v>25.2</v>
      </c>
      <c r="J75" s="51">
        <v>22053</v>
      </c>
      <c r="K75" s="159">
        <v>33.6</v>
      </c>
      <c r="L75" s="16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</row>
    <row r="76" spans="1:158" ht="15">
      <c r="A76" s="16"/>
      <c r="B76" s="16"/>
      <c r="C76" s="51" t="s">
        <v>30</v>
      </c>
      <c r="D76" s="88">
        <v>18.9</v>
      </c>
      <c r="E76" s="16"/>
      <c r="F76" s="16"/>
      <c r="G76" s="16"/>
      <c r="H76" s="51">
        <v>22034</v>
      </c>
      <c r="I76" s="90">
        <v>25.2</v>
      </c>
      <c r="J76" s="51">
        <v>22054</v>
      </c>
      <c r="K76" s="159">
        <v>33.6</v>
      </c>
      <c r="L76" s="16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</row>
    <row r="77" spans="1:158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</row>
    <row r="78" spans="3:158" ht="15"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</row>
    <row r="79" spans="3:158" ht="1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</row>
    <row r="80" spans="3:158" ht="1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</row>
    <row r="81" spans="3:158" ht="1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</row>
    <row r="82" spans="3:158" ht="1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</row>
    <row r="83" spans="3:158" ht="1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</row>
    <row r="84" spans="3:158" ht="1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</row>
    <row r="85" spans="3:158" ht="1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</row>
    <row r="86" spans="3:158" ht="1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</row>
    <row r="87" spans="3:158" ht="1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</row>
    <row r="88" spans="3:158" ht="1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</row>
    <row r="89" spans="3:158" ht="1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</row>
    <row r="90" spans="3:158" ht="1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</row>
    <row r="91" spans="3:158" ht="1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</row>
    <row r="92" spans="3:158" ht="1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</row>
    <row r="93" spans="3:158" ht="1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</row>
    <row r="94" spans="3:158" ht="1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</row>
    <row r="95" spans="3:158" ht="1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</row>
    <row r="96" spans="3:158" ht="1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</row>
    <row r="97" spans="3:158" ht="1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</row>
    <row r="98" spans="3:158" ht="1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</row>
    <row r="99" spans="3:158" ht="1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</row>
    <row r="100" spans="3:158" ht="1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</row>
    <row r="101" spans="3:158" ht="1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</row>
    <row r="102" spans="3:158" ht="1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</row>
    <row r="103" spans="3:158" ht="1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</row>
    <row r="104" spans="3:73" ht="1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</row>
    <row r="105" spans="3:73" ht="1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</row>
    <row r="106" spans="3:73" ht="1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</row>
    <row r="107" spans="3:73" ht="1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</row>
    <row r="108" spans="3:73" ht="1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</row>
    <row r="109" spans="3:73" ht="1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</row>
    <row r="110" spans="3:73" ht="1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</row>
    <row r="111" spans="3:73" ht="1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</row>
    <row r="112" spans="3:73" ht="1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</row>
    <row r="113" spans="3:73" ht="1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</row>
    <row r="114" spans="3:73" ht="1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</row>
    <row r="115" spans="3:73" ht="1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</row>
    <row r="116" spans="3:73" ht="1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</row>
    <row r="117" spans="3:73" ht="1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</row>
    <row r="118" spans="3:73" ht="1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</row>
    <row r="119" spans="3:73" ht="1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</row>
    <row r="120" spans="3:73" ht="1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</row>
    <row r="121" spans="3:73" ht="1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</row>
    <row r="122" spans="3:73" ht="1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</row>
    <row r="123" spans="3:73" ht="1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</row>
    <row r="124" spans="3:73" ht="1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</row>
    <row r="125" spans="3:73" ht="1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</row>
    <row r="126" spans="3:73" ht="1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</row>
    <row r="127" spans="3:73" ht="1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</row>
    <row r="128" spans="3:73" ht="1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</row>
    <row r="129" spans="3:73" ht="1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</row>
    <row r="130" spans="3:73" ht="1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</row>
    <row r="131" spans="3:73" ht="1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</row>
    <row r="132" spans="3:73" ht="1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</row>
    <row r="133" spans="3:73" ht="1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</row>
    <row r="134" spans="3:73" ht="1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</row>
    <row r="135" spans="3:73" ht="1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</row>
    <row r="136" spans="3:73" ht="1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</row>
    <row r="137" spans="3:73" ht="1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</row>
    <row r="138" spans="3:73" ht="1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</row>
    <row r="139" spans="3:73" ht="1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</row>
    <row r="140" spans="3:73" ht="1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</row>
    <row r="141" spans="3:73" ht="1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</row>
    <row r="142" spans="3:73" ht="1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</row>
    <row r="143" spans="3:73" ht="1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</row>
    <row r="144" spans="3:73" ht="1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</row>
    <row r="145" spans="3:73" ht="1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</row>
    <row r="146" spans="3:73" ht="1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</row>
    <row r="147" spans="3:73" ht="1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</row>
    <row r="148" spans="3:73" ht="1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</row>
    <row r="149" spans="3:73" ht="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</row>
    <row r="150" spans="3:73" ht="1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</row>
    <row r="151" spans="3:73" ht="1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</row>
    <row r="152" spans="3:73" ht="1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</row>
    <row r="153" spans="3:73" ht="1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</row>
    <row r="154" spans="3:73" ht="1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</row>
    <row r="155" spans="3:73" ht="1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</row>
    <row r="156" spans="3:73" ht="1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</row>
    <row r="157" spans="3:73" ht="1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</row>
    <row r="158" spans="3:73" ht="1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</row>
    <row r="159" spans="3:73" ht="1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</row>
    <row r="160" spans="3:73" ht="1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</row>
    <row r="161" spans="3:73" ht="1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</row>
    <row r="162" spans="3:73" ht="1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</row>
    <row r="163" spans="3:73" ht="1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</row>
    <row r="164" spans="3:73" ht="1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</row>
    <row r="165" spans="3:73" ht="1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</row>
  </sheetData>
  <sheetProtection password="FDAD" sheet="1" objects="1" scenarios="1"/>
  <mergeCells count="7">
    <mergeCell ref="C40:I40"/>
    <mergeCell ref="C32:I32"/>
    <mergeCell ref="J32:L32"/>
    <mergeCell ref="K34:M34"/>
    <mergeCell ref="H34:J34"/>
    <mergeCell ref="C8:G8"/>
    <mergeCell ref="C9:G9"/>
  </mergeCells>
  <printOptions/>
  <pageMargins left="0.31" right="0.46" top="0.39" bottom="0.39" header="0.511811023" footer="0.511811023"/>
  <pageSetup horizontalDpi="600" verticalDpi="600" orientation="landscape" paperSize="9" scale="65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hellmann</dc:creator>
  <cp:keywords/>
  <dc:description/>
  <cp:lastModifiedBy>Gábor</cp:lastModifiedBy>
  <cp:lastPrinted>2008-10-10T10:16:53Z</cp:lastPrinted>
  <dcterms:created xsi:type="dcterms:W3CDTF">1994-10-23T14:58:38Z</dcterms:created>
  <dcterms:modified xsi:type="dcterms:W3CDTF">2011-05-09T08:25:20Z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